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Bal Sheeet 04-31-21" sheetId="1" r:id="rId1"/>
    <sheet name="2020-21 Budget_YTD 04-31-21" sheetId="2" r:id="rId2"/>
    <sheet name="Bal Sheet 10-31-20 Audit" sheetId="3" r:id="rId3"/>
    <sheet name="Bal Sheet 07-31-20" sheetId="4" r:id="rId4"/>
    <sheet name="Bal Sheet 08-31-19" sheetId="5" r:id="rId5"/>
    <sheet name="Bal Sheet 02-28-19" sheetId="6" r:id="rId6"/>
    <sheet name="Bal Sheet 8-31-18 YE Audit" sheetId="7" r:id="rId7"/>
    <sheet name="Bal Sheet 8-31-18 YE PreAudit" sheetId="8" r:id="rId8"/>
    <sheet name="Bal Sheet 04-30-18 8Mos" sheetId="9" r:id="rId9"/>
    <sheet name="Bal Sheet 8-31-17 YE" sheetId="10" r:id="rId10"/>
    <sheet name="Bal Sheet 08-31-16 Year End" sheetId="11" r:id="rId11"/>
    <sheet name="Bal Sheet 08-31-15 Year End" sheetId="12" r:id="rId12"/>
    <sheet name="Bal Sheet 8-31-14 YE" sheetId="13" r:id="rId13"/>
    <sheet name="Bal Sheet 8-31-13" sheetId="14" r:id="rId14"/>
    <sheet name="Bal Sheet 8-31-12" sheetId="15" r:id="rId15"/>
  </sheets>
  <definedNames>
    <definedName name="_xlnm.Print_Area" localSheetId="1">'2020-21 Budget_YTD 04-31-21'!$A$1:$AO$119</definedName>
  </definedNames>
  <calcPr fullCalcOnLoad="1"/>
</workbook>
</file>

<file path=xl/sharedStrings.xml><?xml version="1.0" encoding="utf-8"?>
<sst xmlns="http://schemas.openxmlformats.org/spreadsheetml/2006/main" count="832" uniqueCount="307">
  <si>
    <t>IIAN FOUNDATION</t>
  </si>
  <si>
    <t>2011-12</t>
  </si>
  <si>
    <t>2012-13</t>
  </si>
  <si>
    <t>2013-14</t>
  </si>
  <si>
    <t>2014-15</t>
  </si>
  <si>
    <t>2015-16</t>
  </si>
  <si>
    <t>2010-11 ACTUAL</t>
  </si>
  <si>
    <t>BUDG PROJ</t>
  </si>
  <si>
    <t>2011-12 ACTUAL</t>
  </si>
  <si>
    <t>ACTUAL AUDITED</t>
  </si>
  <si>
    <t>11 MOS</t>
  </si>
  <si>
    <t>YE PROJECTION</t>
  </si>
  <si>
    <t>REVENUE</t>
  </si>
  <si>
    <t>JACUPKE GOLF TOURNAMENT</t>
  </si>
  <si>
    <t>Jacupke Revenue</t>
  </si>
  <si>
    <r>
      <t xml:space="preserve">  </t>
    </r>
    <r>
      <rPr>
        <sz val="10"/>
        <rFont val="Arial"/>
        <family val="2"/>
      </rPr>
      <t>Registration Income</t>
    </r>
  </si>
  <si>
    <r>
      <t xml:space="preserve">  </t>
    </r>
    <r>
      <rPr>
        <sz val="10"/>
        <rFont val="Arial"/>
        <family val="2"/>
      </rPr>
      <t>Misc Income (Mulligans, Contests)</t>
    </r>
  </si>
  <si>
    <t>Total Jacupke Revenue</t>
  </si>
  <si>
    <t>Jacupke Expense</t>
  </si>
  <si>
    <r>
      <t xml:space="preserve">  </t>
    </r>
    <r>
      <rPr>
        <sz val="10"/>
        <rFont val="Arial"/>
        <family val="2"/>
      </rPr>
      <t>Promotion - Printing/Mailing/Adv</t>
    </r>
  </si>
  <si>
    <r>
      <t xml:space="preserve">  </t>
    </r>
    <r>
      <rPr>
        <sz val="10"/>
        <rFont val="Arial"/>
        <family val="2"/>
      </rPr>
      <t>Signs</t>
    </r>
  </si>
  <si>
    <t>Total Jacupke Expense</t>
  </si>
  <si>
    <t>Jacupke Excess/Deficiency</t>
  </si>
  <si>
    <t>LIVE AUCTION - IIAN ANN CONVENTION</t>
  </si>
  <si>
    <t>2010 Casino Night</t>
  </si>
  <si>
    <t>2011 LaVista</t>
  </si>
  <si>
    <t>2012 Kearney</t>
  </si>
  <si>
    <t>2013 Lincoln</t>
  </si>
  <si>
    <t>2014 Lincoln</t>
  </si>
  <si>
    <t>2015 LaVista</t>
  </si>
  <si>
    <t>Auction Revenue</t>
  </si>
  <si>
    <t xml:space="preserve">  Auction Item Purchases</t>
  </si>
  <si>
    <r>
      <t xml:space="preserve">  </t>
    </r>
    <r>
      <rPr>
        <sz val="10"/>
        <rFont val="Arial"/>
        <family val="2"/>
      </rPr>
      <t>Pre-Auction Donations (Items, $$$)</t>
    </r>
  </si>
  <si>
    <r>
      <t xml:space="preserve">  </t>
    </r>
    <r>
      <rPr>
        <sz val="10"/>
        <rFont val="Arial"/>
        <family val="2"/>
      </rPr>
      <t>Misc Income</t>
    </r>
  </si>
  <si>
    <t>Total Auction Revenue</t>
  </si>
  <si>
    <t>Auction Expense</t>
  </si>
  <si>
    <r>
      <t xml:space="preserve">  </t>
    </r>
    <r>
      <rPr>
        <sz val="10"/>
        <rFont val="Arial"/>
        <family val="2"/>
      </rPr>
      <t>Cost of Auction Items</t>
    </r>
  </si>
  <si>
    <r>
      <t xml:space="preserve">  </t>
    </r>
    <r>
      <rPr>
        <sz val="10"/>
        <rFont val="Arial"/>
        <family val="2"/>
      </rPr>
      <t>Misc Expense (Signs, Decos, Etc.)</t>
    </r>
  </si>
  <si>
    <t>Total Auction Expense</t>
  </si>
  <si>
    <t>Auction Excess/Deficiency</t>
  </si>
  <si>
    <t>AC Revenue</t>
  </si>
  <si>
    <t>15 Donors</t>
  </si>
  <si>
    <t>20 Donors</t>
  </si>
  <si>
    <t>6 Donors</t>
  </si>
  <si>
    <t>8 Donors</t>
  </si>
  <si>
    <t>10 Donors</t>
  </si>
  <si>
    <t>1 Donor</t>
  </si>
  <si>
    <t>2 Donors</t>
  </si>
  <si>
    <t>Greater Than $2,000</t>
  </si>
  <si>
    <t>Misc Income</t>
  </si>
  <si>
    <t>Total AC Revenue</t>
  </si>
  <si>
    <t>AC Expense</t>
  </si>
  <si>
    <r>
      <t xml:space="preserve">  </t>
    </r>
    <r>
      <rPr>
        <sz val="10"/>
        <rFont val="Arial"/>
        <family val="2"/>
      </rPr>
      <t>Travel/Entertainment</t>
    </r>
  </si>
  <si>
    <r>
      <t xml:space="preserve">  </t>
    </r>
    <r>
      <rPr>
        <sz val="10"/>
        <rFont val="Arial"/>
        <family val="2"/>
      </rPr>
      <t>Misc Expense</t>
    </r>
  </si>
  <si>
    <t>Total AC Expense</t>
  </si>
  <si>
    <t>Academic Leadership Excess/Deficiency</t>
  </si>
  <si>
    <t>GENERAL REVENUE</t>
  </si>
  <si>
    <t>Donations - Restricted</t>
  </si>
  <si>
    <t>Unrest Sub-Total</t>
  </si>
  <si>
    <t xml:space="preserve">  IIA Of Omaha HS Scholarship</t>
  </si>
  <si>
    <t>Memorial Donations</t>
  </si>
  <si>
    <t>Interest Income</t>
  </si>
  <si>
    <t>Misc Income - 2012 CPCU InVEST Fund Transfer</t>
  </si>
  <si>
    <t>Total General Revenue</t>
  </si>
  <si>
    <r>
      <t xml:space="preserve">  </t>
    </r>
    <r>
      <rPr>
        <sz val="10"/>
        <rFont val="Arial"/>
        <family val="2"/>
      </rPr>
      <t>Without IIA of Lincoln Restricted Donation</t>
    </r>
  </si>
  <si>
    <t>TOTAL REVENUE</t>
  </si>
  <si>
    <t>EXPENSE</t>
  </si>
  <si>
    <t>SCHOLARSHIP AWARDS</t>
  </si>
  <si>
    <t>HS - Linder</t>
  </si>
  <si>
    <t>HS - Jacupke</t>
  </si>
  <si>
    <t>College - Elliott</t>
  </si>
  <si>
    <t>Community College - InVEST</t>
  </si>
  <si>
    <t>HS - Lancaster County</t>
  </si>
  <si>
    <t>Lancaster County Restricted fund adjustment</t>
  </si>
  <si>
    <t>Member Prof. Development - Lancaster Co.</t>
  </si>
  <si>
    <t>Printing/Postage/UPS</t>
  </si>
  <si>
    <t>Total Scholarship Award Expense</t>
  </si>
  <si>
    <t>Intern - IIAN Agreement</t>
  </si>
  <si>
    <t>ADMINISTRATIVE EXPENSE</t>
  </si>
  <si>
    <t>Fees - Bank, Filing, Etc.</t>
  </si>
  <si>
    <t>Postage/Mailing</t>
  </si>
  <si>
    <t>Board/Committee Meetings</t>
  </si>
  <si>
    <t>Website, Promotional</t>
  </si>
  <si>
    <t>Misc Expense-BusCards/Ltrhead/Envs 2013</t>
  </si>
  <si>
    <t>Total Administrative Expense</t>
  </si>
  <si>
    <t>TOTAL EXPENSE</t>
  </si>
  <si>
    <t>TOTAL NET INCOME/LOSS</t>
  </si>
  <si>
    <t>InVEST Nebraska-IIAN Priority</t>
  </si>
  <si>
    <t>IIAN Actual</t>
  </si>
  <si>
    <t>IIAN Budget</t>
  </si>
  <si>
    <t>Promotional Materials - Printing/Publishing</t>
  </si>
  <si>
    <t>Promotional Video - Nebraska Careers</t>
  </si>
  <si>
    <t>HS/NECC</t>
  </si>
  <si>
    <t>Conferences/Fairs/Students - Give-Aways</t>
  </si>
  <si>
    <t>Staff/Volunteer Travel</t>
  </si>
  <si>
    <t>Direct Mail/Supplies</t>
  </si>
  <si>
    <t>Direct Mail Postage/Mailhouse</t>
  </si>
  <si>
    <t>College Level</t>
  </si>
  <si>
    <t>Advertising - Facebook/CareerConnections Sponsor</t>
  </si>
  <si>
    <t>Conferences/Fairs - Booth Fees</t>
  </si>
  <si>
    <t>InVEST Fundraising Consultant</t>
  </si>
  <si>
    <t>TOTAL IIAN</t>
  </si>
  <si>
    <t xml:space="preserve">  </t>
  </si>
  <si>
    <t>ASSETS</t>
  </si>
  <si>
    <t>CURRENT ASSETS</t>
  </si>
  <si>
    <t>U.S. Bank</t>
  </si>
  <si>
    <t>U.S. Bank MM</t>
  </si>
  <si>
    <t>Investment - Treasury Note</t>
  </si>
  <si>
    <t>Prepaid Expense - 2012 Auction Printing</t>
  </si>
  <si>
    <t>Accounts Receivable 2012</t>
  </si>
  <si>
    <t>Accounts Receivable Transferred from 8-31-11</t>
  </si>
  <si>
    <t>Bank Reconcilation Difference</t>
  </si>
  <si>
    <t>Sponsorships &amp; Registrations from IIAN</t>
  </si>
  <si>
    <t>TOTAL CURRENT ASSETS</t>
  </si>
  <si>
    <t>FIXED ASSETS</t>
  </si>
  <si>
    <t>Furniture &amp; Fixtures</t>
  </si>
  <si>
    <t>Accum. Deprec. - Furn &amp; Fixtures</t>
  </si>
  <si>
    <t>TOTAL FIXED ASSETS</t>
  </si>
  <si>
    <t>TOTAL ASSETS</t>
  </si>
  <si>
    <t>LIABILITIES &amp; MEMBER EQUITY</t>
  </si>
  <si>
    <t>Accounts Payable - Jacupke</t>
  </si>
  <si>
    <t>Accounts Payable - Postage/UPS-Scholarships</t>
  </si>
  <si>
    <t>TOTAL LIABILITIES</t>
  </si>
  <si>
    <t>FUND BALANCE</t>
  </si>
  <si>
    <t>Fund Balance 8/31/11</t>
  </si>
  <si>
    <t>Surplus/Excess of Income</t>
  </si>
  <si>
    <t>Net Profit(Loss)</t>
  </si>
  <si>
    <t>TOTAL MEMBER EQUITY</t>
  </si>
  <si>
    <t>TOTAL LIABILITIES/MBR EQUITY</t>
  </si>
  <si>
    <t>Accounts Payable - Jacupke Scholarship</t>
  </si>
  <si>
    <t>Fund Balance 8/31/12</t>
  </si>
  <si>
    <t xml:space="preserve">  Restricted - Elliott (Copple)</t>
  </si>
  <si>
    <t xml:space="preserve">  Restricted - Lancaster Co (IIA of Lincoln)</t>
  </si>
  <si>
    <t xml:space="preserve">  Unrestricted</t>
  </si>
  <si>
    <t>8/31/2013 - Traverse/Audited</t>
  </si>
  <si>
    <t>Accounts Receivable Academic Leadership Circle</t>
  </si>
  <si>
    <t>Accounts Receivable from IIAN/IIAO</t>
  </si>
  <si>
    <t>Accounts Payable - Scholarships</t>
  </si>
  <si>
    <t>Accounts Payable - IIAN Postage/UPS/Auction Exp</t>
  </si>
  <si>
    <t>Fund Balance 8/31/13</t>
  </si>
  <si>
    <t>Move To Oct 2015</t>
  </si>
  <si>
    <t>Partner Income</t>
  </si>
  <si>
    <t>No Partner Income</t>
  </si>
  <si>
    <t>LaVista Oct 15</t>
  </si>
  <si>
    <t>2013-14 Projection</t>
  </si>
  <si>
    <t>IIAN YE Proj</t>
  </si>
  <si>
    <t>Incl</t>
  </si>
  <si>
    <t>Invoiced</t>
  </si>
  <si>
    <t>8/31/2014 - Traverse</t>
  </si>
  <si>
    <t>Deferred Income</t>
  </si>
  <si>
    <t>AUDITED</t>
  </si>
  <si>
    <t>TOTAL EXP</t>
  </si>
  <si>
    <t>Fund Balance 8/31/14</t>
  </si>
  <si>
    <t>12 Mos</t>
  </si>
  <si>
    <t>YEAREND PROJ</t>
  </si>
  <si>
    <t>Same As</t>
  </si>
  <si>
    <t>2013-14 Actual</t>
  </si>
  <si>
    <t>Golf Bucket Raffle</t>
  </si>
  <si>
    <t>Total AnnExp</t>
  </si>
  <si>
    <t>CMSE Sponsorship</t>
  </si>
  <si>
    <t>College Internship Program</t>
  </si>
  <si>
    <t>Total UNL-CBA Expense</t>
  </si>
  <si>
    <t xml:space="preserve">Found Board </t>
  </si>
  <si>
    <t>$500 Min 2015-16</t>
  </si>
  <si>
    <t>Non-Board</t>
  </si>
  <si>
    <t>Member Lunch/Breakfast Meetings</t>
  </si>
  <si>
    <t xml:space="preserve">UNL-CBA/Internship Program </t>
  </si>
  <si>
    <t>Design/Print Marketing Materials</t>
  </si>
  <si>
    <t>TOTAL</t>
  </si>
  <si>
    <t>Total</t>
  </si>
  <si>
    <t>2015-16 Projection</t>
  </si>
  <si>
    <t>25 Donors (+10)</t>
  </si>
  <si>
    <t>1 Donor (+1)</t>
  </si>
  <si>
    <t>10 Donors (+4)</t>
  </si>
  <si>
    <t>10 Donors (+2)</t>
  </si>
  <si>
    <t>7 Donors (+1)</t>
  </si>
  <si>
    <t>8/31/2015 - Traverse</t>
  </si>
  <si>
    <t>Without NASC</t>
  </si>
  <si>
    <t>YEARTODATE</t>
  </si>
  <si>
    <t>o</t>
  </si>
  <si>
    <t>Fund Balance 8/31/15</t>
  </si>
  <si>
    <t>3rd Qtr</t>
  </si>
  <si>
    <t>Papillion-Axtell Fall 16</t>
  </si>
  <si>
    <t>2016-17</t>
  </si>
  <si>
    <t>New Tal Prog</t>
  </si>
  <si>
    <t>New Talent Prog</t>
  </si>
  <si>
    <t>Eagle Hills</t>
  </si>
  <si>
    <t>Awarii Dunes</t>
  </si>
  <si>
    <t>Non-Partner/Comp</t>
  </si>
  <si>
    <t>Partner  Allocation</t>
  </si>
  <si>
    <t>Total Partner Alloc</t>
  </si>
  <si>
    <t>100 Golfers</t>
  </si>
  <si>
    <t>50 Golfers</t>
  </si>
  <si>
    <t>2016 Extra</t>
  </si>
  <si>
    <t>Fundraisers</t>
  </si>
  <si>
    <t>Jacupke Tournament</t>
  </si>
  <si>
    <t>Elliot fund adjustment</t>
  </si>
  <si>
    <t>Lancaster Co/Elliot Scholarships - Restricted Fund Adjustment MOVED TO LINES 75-76</t>
  </si>
  <si>
    <t>Pro-Rated 11 Mos.</t>
  </si>
  <si>
    <t xml:space="preserve">  IIA of Lincoln Lancaster Co</t>
  </si>
  <si>
    <t>IIAN Partnership</t>
  </si>
  <si>
    <t>Lanc County Fund / Local Contributions</t>
  </si>
  <si>
    <t>Actual</t>
  </si>
  <si>
    <t>68 Golfers</t>
  </si>
  <si>
    <t>42 Golfers</t>
  </si>
  <si>
    <t>Budget</t>
  </si>
  <si>
    <t>NASC Spons</t>
  </si>
  <si>
    <t>Elliot/Lancaster Allocations</t>
  </si>
  <si>
    <t>8/31/2016 - Traverse</t>
  </si>
  <si>
    <t>IIAL/IIAO Contr</t>
  </si>
  <si>
    <t>YEAR END PROJ</t>
  </si>
  <si>
    <t>FY 8/31/16 - 17</t>
  </si>
  <si>
    <t>New Talent Program Contribution</t>
  </si>
  <si>
    <t>Prepaid Expenses</t>
  </si>
  <si>
    <t>Fund Balance 8/31/16</t>
  </si>
  <si>
    <t>Elliot/Lancaster Allocations - 8/31/17</t>
  </si>
  <si>
    <t>Accounts Payable - IIAN Postage/New Talent Exp</t>
  </si>
  <si>
    <t>Deferred Income - Golf Tournament 10/11/17</t>
  </si>
  <si>
    <t>2017-18</t>
  </si>
  <si>
    <t>Eagle Oct 2017</t>
  </si>
  <si>
    <t xml:space="preserve">  Other Sponsorships</t>
  </si>
  <si>
    <t>Donations - Unrestricted/Grants</t>
  </si>
  <si>
    <t>2 Months @3395 Mo.</t>
  </si>
  <si>
    <t>10 Months @$4614</t>
  </si>
  <si>
    <t>60/40 Split</t>
  </si>
  <si>
    <t>50/50 Split</t>
  </si>
  <si>
    <t>10 Months @$3845</t>
  </si>
  <si>
    <t>50/50 Thru 8/31/18</t>
  </si>
  <si>
    <t>ACADEMIC LEADERSHIP/LARGE DONOR PROG</t>
  </si>
  <si>
    <t>NASC</t>
  </si>
  <si>
    <t>Papill-Axtell Fall16</t>
  </si>
  <si>
    <t>8/31/2017 - Traverse</t>
  </si>
  <si>
    <t>Accounts Payable - IIAN/New Talent Exp</t>
  </si>
  <si>
    <t>Accounts Payable -Misc</t>
  </si>
  <si>
    <t>8 Mos</t>
  </si>
  <si>
    <t>2018 Kearney</t>
  </si>
  <si>
    <t>Silent Auction</t>
  </si>
  <si>
    <t>Partner Sponsors</t>
  </si>
  <si>
    <t>Cost of Auction Items</t>
  </si>
  <si>
    <t>04/30/2018 - Traverse</t>
  </si>
  <si>
    <t>Update 06/14/18</t>
  </si>
  <si>
    <t>YEAR END</t>
  </si>
  <si>
    <t>Pre-Audit</t>
  </si>
  <si>
    <t>Corrected</t>
  </si>
  <si>
    <t>Under Budget</t>
  </si>
  <si>
    <t>Ded 3 Mos @$3845</t>
  </si>
  <si>
    <t>Ded 2 Mos @$3845</t>
  </si>
  <si>
    <t>TOTAL NET LOSS</t>
  </si>
  <si>
    <t>8/31/2018 - Traverse</t>
  </si>
  <si>
    <t xml:space="preserve">Accounts Receivable </t>
  </si>
  <si>
    <t xml:space="preserve">Accounts Receivable-Misc </t>
  </si>
  <si>
    <t>Fund Balance 8/31/17</t>
  </si>
  <si>
    <t>LancCoFundAdj</t>
  </si>
  <si>
    <t>Est. 11/30/18</t>
  </si>
  <si>
    <t>8/31/2018 - Traverse Audited</t>
  </si>
  <si>
    <t>Elliot/Lancaster Allocations - 8/31/18</t>
  </si>
  <si>
    <t>AUDIT</t>
  </si>
  <si>
    <t>Over Budget</t>
  </si>
  <si>
    <t>2 Months @3845 Mo.</t>
  </si>
  <si>
    <t>10 Months @ $4055</t>
  </si>
  <si>
    <t>50/50 Thru 8/31/19</t>
  </si>
  <si>
    <t>3 Months @ $4055</t>
  </si>
  <si>
    <t>50/50 Thru 1/31/19</t>
  </si>
  <si>
    <t>2018-19</t>
  </si>
  <si>
    <t>Update 02/25/19</t>
  </si>
  <si>
    <t>2019 Kearney</t>
  </si>
  <si>
    <t>Eagle Oct 2018</t>
  </si>
  <si>
    <t xml:space="preserve">  IIA of Lincoln/Omaha-Bowling Fundraiser</t>
  </si>
  <si>
    <t xml:space="preserve">  IIAN/NASC - Dues Check-Off</t>
  </si>
  <si>
    <t>50/50 Thru 6/30/18</t>
  </si>
  <si>
    <t>Adjust Budget</t>
  </si>
  <si>
    <t>6 Mos</t>
  </si>
  <si>
    <t>Update 5/31/19</t>
  </si>
  <si>
    <t>HS - IIA Of Omaha</t>
  </si>
  <si>
    <t>2/28/2019 - Traverse</t>
  </si>
  <si>
    <t>Fund Balance 8/31/18</t>
  </si>
  <si>
    <t>50/50 Thru 2/28/19</t>
  </si>
  <si>
    <t>Budget Reduction</t>
  </si>
  <si>
    <t>Approved</t>
  </si>
  <si>
    <t>Sept-Oct 2019</t>
  </si>
  <si>
    <t>Awarii Oct 2019</t>
  </si>
  <si>
    <r>
      <t xml:space="preserve">  </t>
    </r>
    <r>
      <rPr>
        <sz val="10"/>
        <rFont val="Arial"/>
        <family val="2"/>
      </rPr>
      <t>Hole/Pin/Lunch/Bev Sponsor Income</t>
    </r>
  </si>
  <si>
    <t>2019-20</t>
  </si>
  <si>
    <r>
      <t xml:space="preserve">  </t>
    </r>
    <r>
      <rPr>
        <sz val="10"/>
        <rFont val="Arial"/>
        <family val="2"/>
      </rPr>
      <t>Course Fees/Lunch/Beverage/Carts - 138 Golfers</t>
    </r>
  </si>
  <si>
    <r>
      <t xml:space="preserve">  </t>
    </r>
    <r>
      <rPr>
        <sz val="10"/>
        <rFont val="Arial"/>
        <family val="2"/>
      </rPr>
      <t>Misc Expense (Player Gifts, Pin-Flight Prizes)</t>
    </r>
  </si>
  <si>
    <t>Administration Exp-Annual Fin Audit, Etc.</t>
  </si>
  <si>
    <t>8/31/2019 - Traverse</t>
  </si>
  <si>
    <t>Eagle Oct 2020</t>
  </si>
  <si>
    <t>Approved 11/7/19</t>
  </si>
  <si>
    <t>9/1/18-10/31/19</t>
  </si>
  <si>
    <t>Audited</t>
  </si>
  <si>
    <t>TOTAL EXPENSES</t>
  </si>
  <si>
    <t xml:space="preserve">  Elliott (Copple)</t>
  </si>
  <si>
    <t xml:space="preserve">  Lancaster Co (IIA of Lincoln)</t>
  </si>
  <si>
    <t>Fund Balance 10/31/19</t>
  </si>
  <si>
    <t>YEAR TO DATE</t>
  </si>
  <si>
    <t>7/31/2020 - Traverse - 9 Mos</t>
  </si>
  <si>
    <t>Arbor Bank</t>
  </si>
  <si>
    <t>Arbor Bank MM</t>
  </si>
  <si>
    <t>2020-21</t>
  </si>
  <si>
    <t>Eagle Aug 2021</t>
  </si>
  <si>
    <t>Update: 03-31-21</t>
  </si>
  <si>
    <t>10/31/2020 - Traverse - YE Audited</t>
  </si>
  <si>
    <t xml:space="preserve">  (Copple)</t>
  </si>
  <si>
    <t>YTD</t>
  </si>
  <si>
    <t>2nd Quarter</t>
  </si>
  <si>
    <t>04/30/2021 - Traverse - 2nd Qtr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</si>
</sst>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\$#,##0_);[Red]&quot;($&quot;#,##0\)"/>
    <numFmt numFmtId="167" formatCode="0.0"/>
    <numFmt numFmtId="168" formatCode="0.000"/>
    <numFmt numFmtId="169" formatCode="_(\$* #,##0.000_);_(\$* \(#,##0.000\);_(\$* \-??_);_(@_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5" fontId="2" fillId="0" borderId="0" xfId="47" applyFont="1" applyFill="1" applyBorder="1" applyAlignment="1" applyProtection="1">
      <alignment horizontal="center"/>
      <protection/>
    </xf>
    <xf numFmtId="164" fontId="2" fillId="0" borderId="0" xfId="4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2" fontId="2" fillId="0" borderId="0" xfId="47" applyNumberFormat="1" applyFont="1" applyFill="1" applyBorder="1" applyAlignment="1" applyProtection="1">
      <alignment horizontal="left"/>
      <protection/>
    </xf>
    <xf numFmtId="164" fontId="2" fillId="0" borderId="0" xfId="42" applyFont="1" applyFill="1" applyBorder="1" applyAlignment="1" applyProtection="1">
      <alignment horizontal="center"/>
      <protection/>
    </xf>
    <xf numFmtId="14" fontId="2" fillId="0" borderId="0" xfId="47" applyNumberFormat="1" applyFont="1" applyFill="1" applyBorder="1" applyAlignment="1" applyProtection="1">
      <alignment horizontal="center"/>
      <protection/>
    </xf>
    <xf numFmtId="14" fontId="2" fillId="0" borderId="0" xfId="42" applyNumberFormat="1" applyFont="1" applyFill="1" applyBorder="1" applyAlignment="1" applyProtection="1">
      <alignment horizontal="center"/>
      <protection/>
    </xf>
    <xf numFmtId="2" fontId="2" fillId="0" borderId="0" xfId="47" applyNumberFormat="1" applyFont="1" applyFill="1" applyBorder="1" applyAlignment="1" applyProtection="1">
      <alignment/>
      <protection/>
    </xf>
    <xf numFmtId="165" fontId="2" fillId="0" borderId="0" xfId="47" applyFont="1" applyFill="1" applyBorder="1" applyAlignment="1" applyProtection="1">
      <alignment/>
      <protection/>
    </xf>
    <xf numFmtId="14" fontId="1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45" applyFont="1" applyFill="1" applyBorder="1" applyAlignment="1" applyProtection="1">
      <alignment/>
      <protection/>
    </xf>
    <xf numFmtId="165" fontId="1" fillId="0" borderId="0" xfId="45" applyFont="1" applyFill="1" applyBorder="1" applyAlignment="1" applyProtection="1">
      <alignment/>
      <protection/>
    </xf>
    <xf numFmtId="165" fontId="1" fillId="33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65" fontId="4" fillId="0" borderId="0" xfId="45" applyFont="1" applyFill="1" applyBorder="1" applyAlignment="1" applyProtection="1">
      <alignment/>
      <protection/>
    </xf>
    <xf numFmtId="165" fontId="2" fillId="34" borderId="0" xfId="45" applyFont="1" applyFill="1" applyBorder="1" applyAlignment="1" applyProtection="1">
      <alignment/>
      <protection/>
    </xf>
    <xf numFmtId="165" fontId="0" fillId="0" borderId="0" xfId="45" applyFont="1" applyFill="1" applyBorder="1" applyAlignment="1" applyProtection="1">
      <alignment/>
      <protection/>
    </xf>
    <xf numFmtId="165" fontId="3" fillId="0" borderId="0" xfId="45" applyFont="1" applyFill="1" applyBorder="1" applyAlignment="1" applyProtection="1">
      <alignment/>
      <protection/>
    </xf>
    <xf numFmtId="165" fontId="4" fillId="34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2" fontId="1" fillId="35" borderId="0" xfId="47" applyNumberFormat="1" applyFont="1" applyFill="1" applyBorder="1" applyAlignment="1" applyProtection="1">
      <alignment/>
      <protection/>
    </xf>
    <xf numFmtId="2" fontId="2" fillId="35" borderId="0" xfId="47" applyNumberFormat="1" applyFont="1" applyFill="1" applyBorder="1" applyAlignment="1" applyProtection="1">
      <alignment/>
      <protection/>
    </xf>
    <xf numFmtId="165" fontId="2" fillId="35" borderId="0" xfId="47" applyFont="1" applyFill="1" applyBorder="1" applyAlignment="1" applyProtection="1">
      <alignment/>
      <protection/>
    </xf>
    <xf numFmtId="164" fontId="1" fillId="35" borderId="0" xfId="42" applyFont="1" applyFill="1" applyBorder="1" applyAlignment="1" applyProtection="1">
      <alignment/>
      <protection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165" fontId="1" fillId="35" borderId="0" xfId="45" applyFont="1" applyFill="1" applyBorder="1" applyAlignment="1" applyProtection="1">
      <alignment/>
      <protection/>
    </xf>
    <xf numFmtId="2" fontId="1" fillId="0" borderId="0" xfId="47" applyNumberFormat="1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/>
      <protection/>
    </xf>
    <xf numFmtId="165" fontId="5" fillId="0" borderId="0" xfId="45" applyFont="1" applyFill="1" applyBorder="1" applyAlignment="1" applyProtection="1">
      <alignment/>
      <protection/>
    </xf>
    <xf numFmtId="165" fontId="1" fillId="0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165" fontId="2" fillId="35" borderId="0" xfId="45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36" borderId="0" xfId="0" applyFont="1" applyFill="1" applyAlignment="1">
      <alignment/>
    </xf>
    <xf numFmtId="0" fontId="2" fillId="34" borderId="0" xfId="0" applyFont="1" applyFill="1" applyAlignment="1">
      <alignment/>
    </xf>
    <xf numFmtId="166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166" fontId="3" fillId="0" borderId="0" xfId="0" applyNumberFormat="1" applyFont="1" applyAlignment="1">
      <alignment horizontal="left"/>
    </xf>
    <xf numFmtId="0" fontId="2" fillId="36" borderId="0" xfId="0" applyFont="1" applyFill="1" applyAlignment="1">
      <alignment horizontal="left"/>
    </xf>
    <xf numFmtId="165" fontId="2" fillId="36" borderId="0" xfId="45" applyFont="1" applyFill="1" applyBorder="1" applyAlignment="1" applyProtection="1">
      <alignment/>
      <protection/>
    </xf>
    <xf numFmtId="0" fontId="2" fillId="37" borderId="0" xfId="0" applyFont="1" applyFill="1" applyAlignment="1">
      <alignment/>
    </xf>
    <xf numFmtId="165" fontId="1" fillId="38" borderId="0" xfId="45" applyFont="1" applyFill="1" applyBorder="1" applyAlignment="1" applyProtection="1">
      <alignment/>
      <protection/>
    </xf>
    <xf numFmtId="165" fontId="3" fillId="38" borderId="0" xfId="45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37" borderId="0" xfId="0" applyFont="1" applyFill="1" applyAlignment="1">
      <alignment horizontal="right"/>
    </xf>
    <xf numFmtId="165" fontId="2" fillId="37" borderId="0" xfId="45" applyFont="1" applyFill="1" applyBorder="1" applyAlignment="1" applyProtection="1">
      <alignment/>
      <protection/>
    </xf>
    <xf numFmtId="165" fontId="1" fillId="39" borderId="0" xfId="45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0" borderId="0" xfId="0" applyFont="1" applyFill="1" applyAlignment="1">
      <alignment horizontal="left"/>
    </xf>
    <xf numFmtId="165" fontId="2" fillId="40" borderId="0" xfId="45" applyFont="1" applyFill="1" applyBorder="1" applyAlignment="1" applyProtection="1">
      <alignment/>
      <protection/>
    </xf>
    <xf numFmtId="165" fontId="1" fillId="40" borderId="0" xfId="45" applyFont="1" applyFill="1" applyBorder="1" applyAlignment="1" applyProtection="1">
      <alignment/>
      <protection/>
    </xf>
    <xf numFmtId="165" fontId="3" fillId="0" borderId="0" xfId="0" applyNumberFormat="1" applyFont="1" applyFill="1" applyAlignment="1">
      <alignment/>
    </xf>
    <xf numFmtId="165" fontId="3" fillId="41" borderId="0" xfId="45" applyFont="1" applyFill="1" applyBorder="1" applyAlignment="1" applyProtection="1">
      <alignment/>
      <protection/>
    </xf>
    <xf numFmtId="0" fontId="2" fillId="38" borderId="0" xfId="0" applyFont="1" applyFill="1" applyAlignment="1">
      <alignment horizontal="left"/>
    </xf>
    <xf numFmtId="165" fontId="2" fillId="38" borderId="0" xfId="45" applyFont="1" applyFill="1" applyBorder="1" applyAlignment="1" applyProtection="1">
      <alignment/>
      <protection/>
    </xf>
    <xf numFmtId="2" fontId="2" fillId="38" borderId="0" xfId="47" applyNumberFormat="1" applyFont="1" applyFill="1" applyBorder="1" applyAlignment="1" applyProtection="1">
      <alignment/>
      <protection/>
    </xf>
    <xf numFmtId="165" fontId="2" fillId="38" borderId="0" xfId="47" applyFont="1" applyFill="1" applyBorder="1" applyAlignment="1" applyProtection="1">
      <alignment/>
      <protection/>
    </xf>
    <xf numFmtId="164" fontId="2" fillId="38" borderId="0" xfId="42" applyFont="1" applyFill="1" applyBorder="1" applyAlignment="1" applyProtection="1">
      <alignment/>
      <protection/>
    </xf>
    <xf numFmtId="165" fontId="5" fillId="38" borderId="0" xfId="0" applyNumberFormat="1" applyFont="1" applyFill="1" applyAlignment="1">
      <alignment/>
    </xf>
    <xf numFmtId="2" fontId="2" fillId="40" borderId="0" xfId="47" applyNumberFormat="1" applyFont="1" applyFill="1" applyBorder="1" applyAlignment="1" applyProtection="1">
      <alignment/>
      <protection/>
    </xf>
    <xf numFmtId="165" fontId="2" fillId="40" borderId="0" xfId="47" applyFont="1" applyFill="1" applyBorder="1" applyAlignment="1" applyProtection="1">
      <alignment/>
      <protection/>
    </xf>
    <xf numFmtId="164" fontId="2" fillId="40" borderId="0" xfId="42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165" fontId="0" fillId="0" borderId="0" xfId="47" applyFont="1" applyFill="1" applyBorder="1" applyAlignment="1" applyProtection="1">
      <alignment/>
      <protection/>
    </xf>
    <xf numFmtId="165" fontId="1" fillId="0" borderId="0" xfId="47" applyFont="1" applyFill="1" applyBorder="1" applyAlignment="1" applyProtection="1">
      <alignment/>
      <protection/>
    </xf>
    <xf numFmtId="165" fontId="1" fillId="35" borderId="0" xfId="47" applyFont="1" applyFill="1" applyBorder="1" applyAlignment="1" applyProtection="1">
      <alignment/>
      <protection/>
    </xf>
    <xf numFmtId="1" fontId="2" fillId="0" borderId="0" xfId="47" applyNumberFormat="1" applyFont="1" applyFill="1" applyBorder="1" applyAlignment="1" applyProtection="1">
      <alignment/>
      <protection/>
    </xf>
    <xf numFmtId="165" fontId="6" fillId="0" borderId="0" xfId="4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2" fontId="0" fillId="0" borderId="0" xfId="47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44" applyFont="1" applyFill="1" applyBorder="1" applyAlignment="1" applyProtection="1">
      <alignment/>
      <protection/>
    </xf>
    <xf numFmtId="165" fontId="3" fillId="0" borderId="0" xfId="47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65" fontId="0" fillId="0" borderId="0" xfId="48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2" fillId="0" borderId="0" xfId="48" applyFont="1" applyFill="1" applyBorder="1" applyAlignment="1" applyProtection="1">
      <alignment/>
      <protection/>
    </xf>
    <xf numFmtId="165" fontId="1" fillId="0" borderId="0" xfId="4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5" fontId="4" fillId="0" borderId="0" xfId="4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8" fillId="0" borderId="0" xfId="48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64" fontId="3" fillId="0" borderId="0" xfId="42" applyFont="1" applyFill="1" applyAlignment="1">
      <alignment/>
    </xf>
    <xf numFmtId="165" fontId="1" fillId="42" borderId="0" xfId="45" applyFont="1" applyFill="1" applyBorder="1" applyAlignment="1" applyProtection="1">
      <alignment/>
      <protection/>
    </xf>
    <xf numFmtId="14" fontId="2" fillId="43" borderId="0" xfId="47" applyNumberFormat="1" applyFont="1" applyFill="1" applyBorder="1" applyAlignment="1" applyProtection="1">
      <alignment horizontal="center"/>
      <protection/>
    </xf>
    <xf numFmtId="0" fontId="2" fillId="43" borderId="0" xfId="0" applyFont="1" applyFill="1" applyAlignment="1">
      <alignment/>
    </xf>
    <xf numFmtId="164" fontId="3" fillId="43" borderId="0" xfId="42" applyFont="1" applyFill="1" applyAlignment="1">
      <alignment/>
    </xf>
    <xf numFmtId="165" fontId="2" fillId="43" borderId="0" xfId="45" applyFont="1" applyFill="1" applyBorder="1" applyAlignment="1" applyProtection="1">
      <alignment/>
      <protection/>
    </xf>
    <xf numFmtId="165" fontId="1" fillId="43" borderId="0" xfId="45" applyFont="1" applyFill="1" applyBorder="1" applyAlignment="1" applyProtection="1">
      <alignment/>
      <protection/>
    </xf>
    <xf numFmtId="0" fontId="2" fillId="44" borderId="0" xfId="0" applyFont="1" applyFill="1" applyAlignment="1">
      <alignment/>
    </xf>
    <xf numFmtId="165" fontId="0" fillId="43" borderId="0" xfId="45" applyFont="1" applyFill="1" applyBorder="1" applyAlignment="1" applyProtection="1">
      <alignment/>
      <protection/>
    </xf>
    <xf numFmtId="165" fontId="3" fillId="43" borderId="0" xfId="45" applyFont="1" applyFill="1" applyBorder="1" applyAlignment="1" applyProtection="1">
      <alignment/>
      <protection/>
    </xf>
    <xf numFmtId="0" fontId="3" fillId="43" borderId="0" xfId="0" applyFont="1" applyFill="1" applyAlignment="1">
      <alignment/>
    </xf>
    <xf numFmtId="0" fontId="0" fillId="43" borderId="0" xfId="0" applyFill="1" applyAlignment="1">
      <alignment/>
    </xf>
    <xf numFmtId="0" fontId="2" fillId="45" borderId="0" xfId="0" applyFont="1" applyFill="1" applyAlignment="1">
      <alignment/>
    </xf>
    <xf numFmtId="165" fontId="1" fillId="45" borderId="0" xfId="47" applyFont="1" applyFill="1" applyBorder="1" applyAlignment="1" applyProtection="1">
      <alignment/>
      <protection/>
    </xf>
    <xf numFmtId="0" fontId="0" fillId="45" borderId="0" xfId="0" applyFont="1" applyFill="1" applyAlignment="1">
      <alignment/>
    </xf>
    <xf numFmtId="14" fontId="1" fillId="0" borderId="0" xfId="47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0" fillId="0" borderId="0" xfId="45" applyFill="1" applyAlignment="1">
      <alignment/>
    </xf>
    <xf numFmtId="0" fontId="2" fillId="46" borderId="0" xfId="0" applyFont="1" applyFill="1" applyAlignment="1">
      <alignment/>
    </xf>
    <xf numFmtId="0" fontId="2" fillId="16" borderId="0" xfId="0" applyFont="1" applyFill="1" applyAlignment="1">
      <alignment/>
    </xf>
    <xf numFmtId="17" fontId="2" fillId="16" borderId="0" xfId="0" applyNumberFormat="1" applyFont="1" applyFill="1" applyAlignment="1">
      <alignment/>
    </xf>
    <xf numFmtId="0" fontId="2" fillId="46" borderId="0" xfId="0" applyFont="1" applyFill="1" applyAlignment="1">
      <alignment horizontal="left"/>
    </xf>
    <xf numFmtId="165" fontId="2" fillId="46" borderId="0" xfId="45" applyFont="1" applyFill="1" applyBorder="1" applyAlignment="1" applyProtection="1">
      <alignment/>
      <protection/>
    </xf>
    <xf numFmtId="2" fontId="2" fillId="46" borderId="0" xfId="47" applyNumberFormat="1" applyFont="1" applyFill="1" applyBorder="1" applyAlignment="1" applyProtection="1">
      <alignment/>
      <protection/>
    </xf>
    <xf numFmtId="0" fontId="1" fillId="47" borderId="0" xfId="0" applyFont="1" applyFill="1" applyAlignment="1">
      <alignment horizontal="left"/>
    </xf>
    <xf numFmtId="165" fontId="2" fillId="47" borderId="0" xfId="45" applyFont="1" applyFill="1" applyBorder="1" applyAlignment="1" applyProtection="1">
      <alignment/>
      <protection/>
    </xf>
    <xf numFmtId="165" fontId="1" fillId="47" borderId="0" xfId="45" applyFont="1" applyFill="1" applyBorder="1" applyAlignment="1" applyProtection="1">
      <alignment/>
      <protection/>
    </xf>
    <xf numFmtId="165" fontId="5" fillId="14" borderId="0" xfId="0" applyNumberFormat="1" applyFont="1" applyFill="1" applyAlignment="1">
      <alignment/>
    </xf>
    <xf numFmtId="43" fontId="0" fillId="40" borderId="0" xfId="0" applyNumberFormat="1" applyFill="1" applyAlignment="1">
      <alignment/>
    </xf>
    <xf numFmtId="0" fontId="9" fillId="14" borderId="0" xfId="0" applyFont="1" applyFill="1" applyAlignment="1">
      <alignment horizontal="right"/>
    </xf>
    <xf numFmtId="14" fontId="1" fillId="43" borderId="0" xfId="0" applyNumberFormat="1" applyFont="1" applyFill="1" applyAlignment="1">
      <alignment horizontal="center"/>
    </xf>
    <xf numFmtId="165" fontId="3" fillId="48" borderId="0" xfId="45" applyFont="1" applyFill="1" applyBorder="1" applyAlignment="1" applyProtection="1">
      <alignment/>
      <protection/>
    </xf>
    <xf numFmtId="165" fontId="2" fillId="43" borderId="0" xfId="47" applyFont="1" applyFill="1" applyBorder="1" applyAlignment="1" applyProtection="1">
      <alignment horizontal="center"/>
      <protection/>
    </xf>
    <xf numFmtId="165" fontId="3" fillId="0" borderId="0" xfId="45" applyFont="1" applyFill="1" applyAlignment="1">
      <alignment/>
    </xf>
    <xf numFmtId="0" fontId="2" fillId="49" borderId="0" xfId="0" applyFont="1" applyFill="1" applyAlignment="1">
      <alignment/>
    </xf>
    <xf numFmtId="165" fontId="2" fillId="49" borderId="0" xfId="45" applyFont="1" applyFill="1" applyBorder="1" applyAlignment="1" applyProtection="1">
      <alignment/>
      <protection/>
    </xf>
    <xf numFmtId="164" fontId="1" fillId="50" borderId="0" xfId="42" applyFont="1" applyFill="1" applyBorder="1" applyAlignment="1" applyProtection="1">
      <alignment/>
      <protection/>
    </xf>
    <xf numFmtId="165" fontId="1" fillId="51" borderId="0" xfId="45" applyFont="1" applyFill="1" applyBorder="1" applyAlignment="1" applyProtection="1">
      <alignment/>
      <protection/>
    </xf>
    <xf numFmtId="0" fontId="4" fillId="14" borderId="0" xfId="0" applyFont="1" applyFill="1" applyAlignment="1">
      <alignment/>
    </xf>
    <xf numFmtId="165" fontId="0" fillId="0" borderId="0" xfId="45" applyAlignment="1">
      <alignment/>
    </xf>
    <xf numFmtId="165" fontId="3" fillId="0" borderId="0" xfId="45" applyFont="1" applyAlignment="1">
      <alignment/>
    </xf>
    <xf numFmtId="165" fontId="8" fillId="19" borderId="0" xfId="45" applyFont="1" applyFill="1" applyBorder="1" applyAlignment="1" applyProtection="1">
      <alignment/>
      <protection/>
    </xf>
    <xf numFmtId="0" fontId="0" fillId="19" borderId="0" xfId="0" applyFill="1" applyAlignment="1">
      <alignment/>
    </xf>
    <xf numFmtId="165" fontId="1" fillId="52" borderId="0" xfId="47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45" applyFont="1" applyAlignment="1">
      <alignment/>
    </xf>
    <xf numFmtId="0" fontId="2" fillId="53" borderId="0" xfId="45" applyNumberFormat="1" applyFont="1" applyFill="1" applyBorder="1" applyAlignment="1" applyProtection="1">
      <alignment/>
      <protection/>
    </xf>
    <xf numFmtId="0" fontId="5" fillId="53" borderId="0" xfId="0" applyFont="1" applyFill="1" applyAlignment="1">
      <alignment/>
    </xf>
    <xf numFmtId="165" fontId="0" fillId="0" borderId="0" xfId="45" applyFont="1" applyFill="1" applyBorder="1" applyAlignment="1" applyProtection="1">
      <alignment/>
      <protection/>
    </xf>
    <xf numFmtId="165" fontId="2" fillId="54" borderId="0" xfId="45" applyFont="1" applyFill="1" applyBorder="1" applyAlignment="1" applyProtection="1">
      <alignment/>
      <protection/>
    </xf>
    <xf numFmtId="165" fontId="2" fillId="50" borderId="0" xfId="45" applyFont="1" applyFill="1" applyBorder="1" applyAlignment="1" applyProtection="1">
      <alignment/>
      <protection/>
    </xf>
    <xf numFmtId="165" fontId="4" fillId="0" borderId="0" xfId="45" applyFont="1" applyAlignment="1">
      <alignment/>
    </xf>
    <xf numFmtId="165" fontId="3" fillId="55" borderId="0" xfId="45" applyFont="1" applyFill="1" applyBorder="1" applyAlignment="1" applyProtection="1">
      <alignment/>
      <protection/>
    </xf>
    <xf numFmtId="165" fontId="0" fillId="56" borderId="0" xfId="45" applyFill="1" applyAlignment="1">
      <alignment/>
    </xf>
    <xf numFmtId="165" fontId="4" fillId="49" borderId="0" xfId="45" applyFont="1" applyFill="1" applyAlignment="1">
      <alignment/>
    </xf>
    <xf numFmtId="165" fontId="2" fillId="53" borderId="0" xfId="45" applyFont="1" applyFill="1" applyBorder="1" applyAlignment="1" applyProtection="1">
      <alignment/>
      <protection/>
    </xf>
    <xf numFmtId="165" fontId="4" fillId="53" borderId="0" xfId="45" applyFont="1" applyFill="1" applyAlignment="1">
      <alignment/>
    </xf>
    <xf numFmtId="165" fontId="4" fillId="5" borderId="0" xfId="45" applyFont="1" applyFill="1" applyAlignment="1">
      <alignment/>
    </xf>
    <xf numFmtId="165" fontId="0" fillId="57" borderId="0" xfId="45" applyFont="1" applyFill="1" applyAlignment="1">
      <alignment/>
    </xf>
    <xf numFmtId="165" fontId="0" fillId="57" borderId="0" xfId="45" applyFill="1" applyAlignment="1">
      <alignment/>
    </xf>
    <xf numFmtId="0" fontId="0" fillId="57" borderId="0" xfId="45" applyNumberFormat="1" applyFill="1" applyAlignment="1">
      <alignment/>
    </xf>
    <xf numFmtId="0" fontId="4" fillId="57" borderId="0" xfId="45" applyNumberFormat="1" applyFont="1" applyFill="1" applyBorder="1" applyAlignment="1" applyProtection="1">
      <alignment/>
      <protection/>
    </xf>
    <xf numFmtId="165" fontId="3" fillId="57" borderId="0" xfId="45" applyFont="1" applyFill="1" applyAlignment="1">
      <alignment/>
    </xf>
    <xf numFmtId="165" fontId="2" fillId="57" borderId="0" xfId="45" applyFont="1" applyFill="1" applyBorder="1" applyAlignment="1" applyProtection="1">
      <alignment/>
      <protection/>
    </xf>
    <xf numFmtId="165" fontId="2" fillId="5" borderId="0" xfId="47" applyFont="1" applyFill="1" applyBorder="1" applyAlignment="1" applyProtection="1">
      <alignment horizontal="center"/>
      <protection/>
    </xf>
    <xf numFmtId="165" fontId="0" fillId="45" borderId="0" xfId="45" applyFill="1" applyAlignment="1">
      <alignment/>
    </xf>
    <xf numFmtId="165" fontId="0" fillId="57" borderId="0" xfId="45" applyFill="1" applyBorder="1" applyAlignment="1" applyProtection="1">
      <alignment/>
      <protection/>
    </xf>
    <xf numFmtId="165" fontId="8" fillId="0" borderId="0" xfId="45" applyFont="1" applyFill="1" applyBorder="1" applyAlignment="1" applyProtection="1">
      <alignment/>
      <protection/>
    </xf>
    <xf numFmtId="165" fontId="3" fillId="58" borderId="0" xfId="45" applyFont="1" applyFill="1" applyBorder="1" applyAlignment="1" applyProtection="1">
      <alignment/>
      <protection/>
    </xf>
    <xf numFmtId="165" fontId="1" fillId="49" borderId="0" xfId="45" applyFont="1" applyFill="1" applyBorder="1" applyAlignment="1" applyProtection="1">
      <alignment/>
      <protection/>
    </xf>
    <xf numFmtId="165" fontId="1" fillId="59" borderId="0" xfId="45" applyFont="1" applyFill="1" applyBorder="1" applyAlignment="1" applyProtection="1">
      <alignment/>
      <protection/>
    </xf>
    <xf numFmtId="165" fontId="1" fillId="60" borderId="0" xfId="45" applyFont="1" applyFill="1" applyBorder="1" applyAlignment="1" applyProtection="1">
      <alignment/>
      <protection/>
    </xf>
    <xf numFmtId="165" fontId="1" fillId="61" borderId="0" xfId="45" applyFont="1" applyFill="1" applyBorder="1" applyAlignment="1" applyProtection="1">
      <alignment/>
      <protection/>
    </xf>
    <xf numFmtId="165" fontId="2" fillId="61" borderId="0" xfId="45" applyFont="1" applyFill="1" applyBorder="1" applyAlignment="1" applyProtection="1">
      <alignment/>
      <protection/>
    </xf>
    <xf numFmtId="43" fontId="1" fillId="61" borderId="0" xfId="0" applyNumberFormat="1" applyFont="1" applyFill="1" applyAlignment="1">
      <alignment/>
    </xf>
    <xf numFmtId="0" fontId="2" fillId="61" borderId="0" xfId="0" applyFont="1" applyFill="1" applyAlignment="1">
      <alignment/>
    </xf>
    <xf numFmtId="165" fontId="1" fillId="62" borderId="0" xfId="45" applyFont="1" applyFill="1" applyBorder="1" applyAlignment="1" applyProtection="1">
      <alignment/>
      <protection/>
    </xf>
    <xf numFmtId="165" fontId="4" fillId="61" borderId="0" xfId="45" applyFont="1" applyFill="1" applyAlignment="1">
      <alignment/>
    </xf>
    <xf numFmtId="0" fontId="0" fillId="61" borderId="0" xfId="0" applyFill="1" applyAlignment="1">
      <alignment/>
    </xf>
    <xf numFmtId="165" fontId="2" fillId="63" borderId="0" xfId="45" applyFont="1" applyFill="1" applyBorder="1" applyAlignment="1" applyProtection="1">
      <alignment/>
      <protection/>
    </xf>
    <xf numFmtId="165" fontId="4" fillId="64" borderId="0" xfId="45" applyFont="1" applyFill="1" applyAlignment="1">
      <alignment/>
    </xf>
    <xf numFmtId="0" fontId="1" fillId="0" borderId="0" xfId="0" applyFont="1" applyFill="1" applyAlignment="1">
      <alignment horizontal="center"/>
    </xf>
    <xf numFmtId="165" fontId="0" fillId="34" borderId="0" xfId="45" applyFill="1" applyAlignment="1">
      <alignment/>
    </xf>
    <xf numFmtId="165" fontId="0" fillId="61" borderId="0" xfId="45" applyFill="1" applyAlignment="1">
      <alignment/>
    </xf>
    <xf numFmtId="165" fontId="3" fillId="61" borderId="0" xfId="45" applyFont="1" applyFill="1" applyAlignment="1">
      <alignment/>
    </xf>
    <xf numFmtId="165" fontId="4" fillId="0" borderId="0" xfId="45" applyFont="1" applyAlignment="1">
      <alignment horizontal="center"/>
    </xf>
    <xf numFmtId="165" fontId="0" fillId="0" borderId="0" xfId="45" applyFont="1" applyFill="1" applyAlignment="1">
      <alignment/>
    </xf>
    <xf numFmtId="165" fontId="1" fillId="19" borderId="0" xfId="45" applyFont="1" applyFill="1" applyBorder="1" applyAlignment="1" applyProtection="1">
      <alignment/>
      <protection/>
    </xf>
    <xf numFmtId="165" fontId="0" fillId="19" borderId="0" xfId="45" applyFill="1" applyAlignment="1">
      <alignment/>
    </xf>
    <xf numFmtId="165" fontId="0" fillId="11" borderId="0" xfId="45" applyFill="1" applyAlignment="1">
      <alignment/>
    </xf>
    <xf numFmtId="0" fontId="0" fillId="50" borderId="0" xfId="0" applyFont="1" applyFill="1" applyAlignment="1">
      <alignment/>
    </xf>
    <xf numFmtId="165" fontId="4" fillId="51" borderId="0" xfId="45" applyFont="1" applyFill="1" applyAlignment="1">
      <alignment/>
    </xf>
    <xf numFmtId="165" fontId="4" fillId="16" borderId="0" xfId="45" applyFont="1" applyFill="1" applyAlignment="1">
      <alignment/>
    </xf>
    <xf numFmtId="169" fontId="2" fillId="37" borderId="0" xfId="45" applyNumberFormat="1" applyFont="1" applyFill="1" applyBorder="1" applyAlignment="1" applyProtection="1">
      <alignment/>
      <protection/>
    </xf>
    <xf numFmtId="169" fontId="2" fillId="0" borderId="0" xfId="45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65" fontId="4" fillId="57" borderId="0" xfId="45" applyFont="1" applyFill="1" applyBorder="1" applyAlignment="1" applyProtection="1">
      <alignment/>
      <protection/>
    </xf>
    <xf numFmtId="165" fontId="0" fillId="16" borderId="0" xfId="45" applyFill="1" applyAlignment="1">
      <alignment/>
    </xf>
    <xf numFmtId="0" fontId="4" fillId="43" borderId="0" xfId="0" applyFont="1" applyFill="1" applyAlignment="1">
      <alignment/>
    </xf>
    <xf numFmtId="165" fontId="0" fillId="43" borderId="0" xfId="45" applyFill="1" applyAlignment="1">
      <alignment/>
    </xf>
    <xf numFmtId="165" fontId="4" fillId="43" borderId="0" xfId="48" applyFont="1" applyFill="1" applyBorder="1" applyAlignment="1" applyProtection="1">
      <alignment/>
      <protection/>
    </xf>
    <xf numFmtId="165" fontId="0" fillId="43" borderId="0" xfId="48" applyFont="1" applyFill="1" applyBorder="1" applyAlignment="1" applyProtection="1">
      <alignment/>
      <protection/>
    </xf>
    <xf numFmtId="165" fontId="2" fillId="43" borderId="0" xfId="48" applyFont="1" applyFill="1" applyBorder="1" applyAlignment="1" applyProtection="1">
      <alignment/>
      <protection/>
    </xf>
    <xf numFmtId="165" fontId="2" fillId="43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5" fontId="3" fillId="56" borderId="0" xfId="45" applyFont="1" applyFill="1" applyAlignment="1">
      <alignment/>
    </xf>
    <xf numFmtId="165" fontId="3" fillId="43" borderId="0" xfId="45" applyFont="1" applyFill="1" applyAlignment="1">
      <alignment/>
    </xf>
    <xf numFmtId="165" fontId="4" fillId="43" borderId="0" xfId="45" applyFont="1" applyFill="1" applyBorder="1" applyAlignment="1" applyProtection="1">
      <alignment/>
      <protection/>
    </xf>
    <xf numFmtId="165" fontId="8" fillId="43" borderId="0" xfId="45" applyFont="1" applyFill="1" applyBorder="1" applyAlignment="1" applyProtection="1">
      <alignment/>
      <protection/>
    </xf>
    <xf numFmtId="165" fontId="0" fillId="43" borderId="0" xfId="45" applyFont="1" applyFill="1" applyBorder="1" applyAlignment="1" applyProtection="1">
      <alignment/>
      <protection/>
    </xf>
    <xf numFmtId="165" fontId="4" fillId="0" borderId="0" xfId="45" applyFont="1" applyFill="1" applyAlignment="1">
      <alignment/>
    </xf>
    <xf numFmtId="165" fontId="2" fillId="65" borderId="0" xfId="45" applyFont="1" applyFill="1" applyBorder="1" applyAlignment="1" applyProtection="1">
      <alignment/>
      <protection/>
    </xf>
    <xf numFmtId="14" fontId="1" fillId="43" borderId="0" xfId="47" applyNumberFormat="1" applyFont="1" applyFill="1" applyBorder="1" applyAlignment="1" applyProtection="1">
      <alignment horizontal="center"/>
      <protection/>
    </xf>
    <xf numFmtId="165" fontId="0" fillId="43" borderId="0" xfId="45" applyFont="1" applyFill="1" applyAlignment="1">
      <alignment/>
    </xf>
    <xf numFmtId="165" fontId="0" fillId="49" borderId="0" xfId="45" applyFont="1" applyFill="1" applyAlignment="1">
      <alignment/>
    </xf>
    <xf numFmtId="165" fontId="1" fillId="66" borderId="0" xfId="45" applyFont="1" applyFill="1" applyBorder="1" applyAlignment="1" applyProtection="1">
      <alignment/>
      <protection/>
    </xf>
    <xf numFmtId="165" fontId="0" fillId="56" borderId="0" xfId="45" applyFont="1" applyFill="1" applyAlignment="1">
      <alignment/>
    </xf>
    <xf numFmtId="165" fontId="0" fillId="17" borderId="0" xfId="45" applyFill="1" applyAlignment="1">
      <alignment/>
    </xf>
    <xf numFmtId="0" fontId="0" fillId="17" borderId="0" xfId="0" applyFill="1" applyAlignment="1">
      <alignment/>
    </xf>
    <xf numFmtId="165" fontId="0" fillId="17" borderId="0" xfId="45" applyFont="1" applyFill="1" applyAlignment="1">
      <alignment/>
    </xf>
    <xf numFmtId="43" fontId="0" fillId="0" borderId="0" xfId="0" applyNumberFormat="1" applyAlignment="1">
      <alignment/>
    </xf>
    <xf numFmtId="165" fontId="25" fillId="0" borderId="0" xfId="48" applyFont="1" applyFill="1" applyBorder="1" applyAlignment="1" applyProtection="1">
      <alignment/>
      <protection/>
    </xf>
    <xf numFmtId="165" fontId="3" fillId="0" borderId="0" xfId="45" applyFont="1" applyAlignment="1">
      <alignment horizontal="center"/>
    </xf>
    <xf numFmtId="165" fontId="5" fillId="0" borderId="0" xfId="0" applyNumberFormat="1" applyFont="1" applyFill="1" applyAlignment="1">
      <alignment/>
    </xf>
    <xf numFmtId="0" fontId="0" fillId="0" borderId="0" xfId="45" applyNumberFormat="1" applyFill="1" applyAlignment="1">
      <alignment/>
    </xf>
    <xf numFmtId="0" fontId="4" fillId="0" borderId="0" xfId="45" applyNumberFormat="1" applyFont="1" applyFill="1" applyBorder="1" applyAlignment="1" applyProtection="1">
      <alignment/>
      <protection/>
    </xf>
    <xf numFmtId="165" fontId="26" fillId="43" borderId="0" xfId="48" applyFont="1" applyFill="1" applyBorder="1" applyAlignment="1" applyProtection="1">
      <alignment/>
      <protection/>
    </xf>
    <xf numFmtId="165" fontId="25" fillId="43" borderId="0" xfId="0" applyNumberFormat="1" applyFont="1" applyFill="1" applyAlignment="1">
      <alignment/>
    </xf>
    <xf numFmtId="165" fontId="2" fillId="11" borderId="0" xfId="47" applyFont="1" applyFill="1" applyBorder="1" applyAlignment="1" applyProtection="1">
      <alignment horizontal="center"/>
      <protection/>
    </xf>
    <xf numFmtId="14" fontId="2" fillId="11" borderId="0" xfId="47" applyNumberFormat="1" applyFont="1" applyFill="1" applyBorder="1" applyAlignment="1" applyProtection="1">
      <alignment horizontal="center"/>
      <protection/>
    </xf>
    <xf numFmtId="14" fontId="1" fillId="11" borderId="0" xfId="47" applyNumberFormat="1" applyFont="1" applyFill="1" applyBorder="1" applyAlignment="1" applyProtection="1">
      <alignment horizontal="center"/>
      <protection/>
    </xf>
    <xf numFmtId="165" fontId="4" fillId="11" borderId="0" xfId="45" applyFont="1" applyFill="1" applyAlignment="1">
      <alignment/>
    </xf>
    <xf numFmtId="165" fontId="4" fillId="11" borderId="0" xfId="45" applyFont="1" applyFill="1" applyAlignment="1">
      <alignment horizontal="center"/>
    </xf>
    <xf numFmtId="165" fontId="2" fillId="67" borderId="0" xfId="45" applyFont="1" applyFill="1" applyBorder="1" applyAlignment="1" applyProtection="1">
      <alignment/>
      <protection/>
    </xf>
    <xf numFmtId="165" fontId="2" fillId="68" borderId="0" xfId="45" applyFont="1" applyFill="1" applyBorder="1" applyAlignment="1" applyProtection="1">
      <alignment/>
      <protection/>
    </xf>
    <xf numFmtId="164" fontId="1" fillId="11" borderId="0" xfId="42" applyFont="1" applyFill="1" applyBorder="1" applyAlignment="1" applyProtection="1">
      <alignment/>
      <protection/>
    </xf>
    <xf numFmtId="165" fontId="1" fillId="11" borderId="0" xfId="45" applyFont="1" applyFill="1" applyBorder="1" applyAlignment="1" applyProtection="1">
      <alignment/>
      <protection/>
    </xf>
    <xf numFmtId="165" fontId="2" fillId="11" borderId="0" xfId="45" applyFont="1" applyFill="1" applyBorder="1" applyAlignment="1" applyProtection="1">
      <alignment/>
      <protection/>
    </xf>
    <xf numFmtId="0" fontId="2" fillId="11" borderId="0" xfId="0" applyFont="1" applyFill="1" applyAlignment="1">
      <alignment/>
    </xf>
    <xf numFmtId="165" fontId="2" fillId="69" borderId="0" xfId="45" applyFont="1" applyFill="1" applyBorder="1" applyAlignment="1" applyProtection="1">
      <alignment/>
      <protection/>
    </xf>
    <xf numFmtId="165" fontId="1" fillId="70" borderId="0" xfId="45" applyFont="1" applyFill="1" applyBorder="1" applyAlignment="1" applyProtection="1">
      <alignment/>
      <protection/>
    </xf>
    <xf numFmtId="165" fontId="2" fillId="71" borderId="0" xfId="45" applyFont="1" applyFill="1" applyBorder="1" applyAlignment="1" applyProtection="1">
      <alignment/>
      <protection/>
    </xf>
    <xf numFmtId="165" fontId="1" fillId="72" borderId="0" xfId="45" applyFont="1" applyFill="1" applyBorder="1" applyAlignment="1" applyProtection="1">
      <alignment/>
      <protection/>
    </xf>
    <xf numFmtId="165" fontId="3" fillId="11" borderId="0" xfId="45" applyFont="1" applyFill="1" applyBorder="1" applyAlignment="1" applyProtection="1">
      <alignment/>
      <protection/>
    </xf>
    <xf numFmtId="165" fontId="2" fillId="70" borderId="0" xfId="45" applyFont="1" applyFill="1" applyBorder="1" applyAlignment="1" applyProtection="1">
      <alignment/>
      <protection/>
    </xf>
    <xf numFmtId="165" fontId="5" fillId="70" borderId="0" xfId="0" applyNumberFormat="1" applyFont="1" applyFill="1" applyAlignment="1">
      <alignment/>
    </xf>
    <xf numFmtId="165" fontId="5" fillId="11" borderId="0" xfId="0" applyNumberFormat="1" applyFont="1" applyFill="1" applyAlignment="1">
      <alignment/>
    </xf>
    <xf numFmtId="43" fontId="0" fillId="11" borderId="0" xfId="0" applyNumberFormat="1" applyFill="1" applyAlignment="1">
      <alignment/>
    </xf>
    <xf numFmtId="0" fontId="4" fillId="61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165" fontId="0" fillId="0" borderId="0" xfId="48" applyFont="1" applyFill="1" applyBorder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5" fontId="26" fillId="0" borderId="0" xfId="48" applyFont="1" applyFill="1" applyBorder="1" applyAlignment="1" applyProtection="1">
      <alignment/>
      <protection/>
    </xf>
    <xf numFmtId="165" fontId="0" fillId="0" borderId="0" xfId="45" applyFont="1" applyFill="1" applyAlignment="1">
      <alignment/>
    </xf>
    <xf numFmtId="165" fontId="4" fillId="57" borderId="0" xfId="45" applyFont="1" applyFill="1" applyAlignment="1">
      <alignment/>
    </xf>
    <xf numFmtId="165" fontId="4" fillId="57" borderId="0" xfId="45" applyFont="1" applyFill="1" applyAlignment="1">
      <alignment horizontal="right"/>
    </xf>
    <xf numFmtId="165" fontId="1" fillId="73" borderId="0" xfId="45" applyFont="1" applyFill="1" applyBorder="1" applyAlignment="1" applyProtection="1">
      <alignment/>
      <protection/>
    </xf>
    <xf numFmtId="165" fontId="5" fillId="57" borderId="0" xfId="45" applyFont="1" applyFill="1" applyAlignment="1">
      <alignment/>
    </xf>
    <xf numFmtId="0" fontId="4" fillId="17" borderId="0" xfId="0" applyFont="1" applyFill="1" applyAlignment="1">
      <alignment/>
    </xf>
    <xf numFmtId="165" fontId="4" fillId="74" borderId="0" xfId="45" applyFont="1" applyFill="1" applyAlignment="1">
      <alignment/>
    </xf>
    <xf numFmtId="0" fontId="4" fillId="74" borderId="0" xfId="0" applyFont="1" applyFill="1" applyAlignment="1">
      <alignment/>
    </xf>
    <xf numFmtId="165" fontId="2" fillId="75" borderId="0" xfId="45" applyFont="1" applyFill="1" applyBorder="1" applyAlignment="1" applyProtection="1">
      <alignment/>
      <protection/>
    </xf>
    <xf numFmtId="0" fontId="2" fillId="76" borderId="0" xfId="0" applyFont="1" applyFill="1" applyAlignment="1">
      <alignment/>
    </xf>
    <xf numFmtId="165" fontId="0" fillId="0" borderId="0" xfId="45" applyFont="1" applyFill="1" applyAlignment="1">
      <alignment horizontal="center"/>
    </xf>
    <xf numFmtId="165" fontId="0" fillId="56" borderId="0" xfId="45" applyFont="1" applyFill="1" applyAlignment="1">
      <alignment/>
    </xf>
    <xf numFmtId="43" fontId="0" fillId="74" borderId="0" xfId="0" applyNumberFormat="1" applyFill="1" applyAlignment="1">
      <alignment/>
    </xf>
    <xf numFmtId="165" fontId="0" fillId="74" borderId="0" xfId="45" applyFont="1" applyFill="1" applyAlignment="1">
      <alignment/>
    </xf>
    <xf numFmtId="165" fontId="0" fillId="49" borderId="0" xfId="45" applyFill="1" applyAlignment="1">
      <alignment/>
    </xf>
    <xf numFmtId="165" fontId="0" fillId="49" borderId="0" xfId="45" applyFont="1" applyFill="1" applyAlignment="1">
      <alignment/>
    </xf>
    <xf numFmtId="165" fontId="1" fillId="77" borderId="0" xfId="45" applyFont="1" applyFill="1" applyBorder="1" applyAlignment="1" applyProtection="1">
      <alignment/>
      <protection/>
    </xf>
    <xf numFmtId="165" fontId="0" fillId="11" borderId="0" xfId="45" applyFont="1" applyFill="1" applyAlignment="1">
      <alignment/>
    </xf>
    <xf numFmtId="0" fontId="2" fillId="14" borderId="0" xfId="0" applyFont="1" applyFill="1" applyAlignment="1">
      <alignment horizontal="right"/>
    </xf>
    <xf numFmtId="165" fontId="0" fillId="78" borderId="0" xfId="45" applyFill="1" applyAlignment="1">
      <alignment/>
    </xf>
    <xf numFmtId="165" fontId="3" fillId="79" borderId="0" xfId="45" applyFont="1" applyFill="1" applyBorder="1" applyAlignment="1" applyProtection="1">
      <alignment/>
      <protection/>
    </xf>
    <xf numFmtId="165" fontId="5" fillId="77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 2" xfId="47"/>
    <cellStyle name="Currency 5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306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297</v>
      </c>
      <c r="B9" s="77">
        <v>35091</v>
      </c>
    </row>
    <row r="10" spans="1:2" ht="15">
      <c r="A10" s="5" t="s">
        <v>298</v>
      </c>
      <c r="B10" s="90">
        <v>120213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100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155404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155404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8794.66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8794.66</v>
      </c>
      <c r="C32" s="91">
        <f>B32</f>
        <v>8794.66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294</v>
      </c>
      <c r="B35" s="95">
        <v>149392</v>
      </c>
      <c r="C35" s="116"/>
      <c r="D35" s="95"/>
      <c r="E35" s="251"/>
    </row>
    <row r="36" spans="1:5" ht="15">
      <c r="A36" s="5" t="s">
        <v>303</v>
      </c>
      <c r="B36" s="90">
        <v>8000</v>
      </c>
      <c r="C36" s="116"/>
      <c r="D36" s="252"/>
      <c r="E36" s="14"/>
    </row>
    <row r="37" spans="1:5" ht="15">
      <c r="A37" s="5" t="s">
        <v>293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62187</v>
      </c>
      <c r="C38" s="116"/>
      <c r="D38" s="252"/>
      <c r="E38" s="253"/>
    </row>
    <row r="39" spans="1:5" ht="15">
      <c r="A39" t="s">
        <v>126</v>
      </c>
      <c r="B39" s="254">
        <v>-2782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146610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155404.66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9">
      <selection activeCell="I44" sqref="I44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231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249.4</v>
      </c>
    </row>
    <row r="12" spans="1:2" ht="15">
      <c r="A12" s="5" t="s">
        <v>106</v>
      </c>
      <c r="B12" s="90">
        <v>117739.94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4250</v>
      </c>
    </row>
    <row r="15" spans="1:2" ht="15">
      <c r="A15" t="s">
        <v>136</v>
      </c>
      <c r="B15" s="21">
        <v>0</v>
      </c>
    </row>
    <row r="16" spans="1:2" ht="15">
      <c r="A16" t="s">
        <v>213</v>
      </c>
      <c r="B16" s="21">
        <v>2210.9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124450.23999999999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124450.23999999999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216</v>
      </c>
      <c r="B31" s="97">
        <v>470</v>
      </c>
    </row>
    <row r="32" spans="1:2" ht="15">
      <c r="A32" s="96" t="s">
        <v>217</v>
      </c>
      <c r="B32" s="97">
        <v>3400</v>
      </c>
    </row>
    <row r="33" spans="1:3" ht="15">
      <c r="A33" s="94" t="s">
        <v>122</v>
      </c>
      <c r="B33" s="77">
        <f>SUM(B30:B32)</f>
        <v>3870</v>
      </c>
      <c r="C33" s="91">
        <f>B33</f>
        <v>3870</v>
      </c>
    </row>
    <row r="34" ht="15">
      <c r="C34" s="2"/>
    </row>
    <row r="35" spans="1:5" ht="15">
      <c r="A35" t="s">
        <v>123</v>
      </c>
      <c r="C35" s="198" t="s">
        <v>215</v>
      </c>
      <c r="D35" s="110"/>
      <c r="E35" s="110"/>
    </row>
    <row r="36" spans="1:5" ht="15">
      <c r="A36" s="96" t="s">
        <v>214</v>
      </c>
      <c r="B36" s="95">
        <f>SUM(B37:B39)</f>
        <v>126908.62</v>
      </c>
      <c r="C36" s="199"/>
      <c r="D36" s="95">
        <f>SUM(D37:D40)</f>
        <v>119106.66</v>
      </c>
      <c r="E36" s="227">
        <f>C42-D36</f>
        <v>1473.5799999999872</v>
      </c>
    </row>
    <row r="37" spans="1:5" ht="15">
      <c r="A37" s="5" t="s">
        <v>131</v>
      </c>
      <c r="B37" s="90">
        <v>9000</v>
      </c>
      <c r="C37" s="199">
        <v>0</v>
      </c>
      <c r="D37" s="201">
        <f>B37-1000</f>
        <v>8000</v>
      </c>
      <c r="E37" s="102"/>
    </row>
    <row r="38" spans="1:5" ht="15">
      <c r="A38" s="5" t="s">
        <v>132</v>
      </c>
      <c r="B38" s="90">
        <v>83059.83</v>
      </c>
      <c r="C38" s="199">
        <v>0</v>
      </c>
      <c r="D38" s="201">
        <f>B38-3855</f>
        <v>79204.83</v>
      </c>
      <c r="E38" s="102"/>
    </row>
    <row r="39" spans="1:5" ht="15">
      <c r="A39" s="51" t="s">
        <v>133</v>
      </c>
      <c r="B39" s="90">
        <v>34848.79</v>
      </c>
      <c r="C39" s="199"/>
      <c r="D39" s="201">
        <f>B39+D40</f>
        <v>33375.31</v>
      </c>
      <c r="E39" s="203"/>
    </row>
    <row r="40" spans="1:5" ht="15">
      <c r="A40" t="s">
        <v>126</v>
      </c>
      <c r="B40" s="221">
        <v>-6328.38</v>
      </c>
      <c r="C40" s="199">
        <f>C37+C38</f>
        <v>0</v>
      </c>
      <c r="D40" s="226">
        <v>-1473.48</v>
      </c>
      <c r="E40" s="102"/>
    </row>
    <row r="41" spans="2:5" ht="15">
      <c r="B41" s="90"/>
      <c r="C41" s="102"/>
      <c r="D41" s="201"/>
      <c r="E41" s="102"/>
    </row>
    <row r="42" spans="1:5" ht="15">
      <c r="A42" s="94" t="s">
        <v>127</v>
      </c>
      <c r="C42" s="91">
        <f>SUM(B36+B40)</f>
        <v>120580.23999999999</v>
      </c>
      <c r="E42" s="203"/>
    </row>
    <row r="43" ht="15">
      <c r="E43" s="220"/>
    </row>
    <row r="44" spans="1:3" ht="15">
      <c r="A44" s="2" t="s">
        <v>128</v>
      </c>
      <c r="C44" s="91">
        <f>SUM(C33+C42)</f>
        <v>124450.23999999999</v>
      </c>
    </row>
  </sheetData>
  <sheetProtection/>
  <printOptions gridLines="1"/>
  <pageMargins left="0.7" right="0.7" top="0.75" bottom="0.75" header="0.3" footer="0.3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7">
      <selection activeCell="E43" sqref="E43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208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5541.46</v>
      </c>
    </row>
    <row r="12" spans="1:2" ht="15">
      <c r="A12" s="5" t="s">
        <v>106</v>
      </c>
      <c r="B12" s="90">
        <v>118140.68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3275</v>
      </c>
    </row>
    <row r="15" spans="1:2" ht="15">
      <c r="A15" t="s">
        <v>136</v>
      </c>
      <c r="B15" s="21" t="s">
        <v>179</v>
      </c>
    </row>
    <row r="16" spans="1:2" ht="15">
      <c r="A16" t="s">
        <v>110</v>
      </c>
      <c r="B16" s="21">
        <v>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126957.14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126957.14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48.52</v>
      </c>
    </row>
    <row r="32" spans="1:2" ht="15">
      <c r="A32" s="96" t="s">
        <v>149</v>
      </c>
      <c r="B32" s="97">
        <v>0</v>
      </c>
    </row>
    <row r="33" spans="1:3" ht="15">
      <c r="A33" s="94" t="s">
        <v>122</v>
      </c>
      <c r="B33" s="77">
        <f>SUM(B30:B32)</f>
        <v>48.52</v>
      </c>
      <c r="C33" s="91">
        <f>B33</f>
        <v>48.52</v>
      </c>
    </row>
    <row r="34" ht="15">
      <c r="C34" s="2"/>
    </row>
    <row r="35" spans="1:5" ht="15">
      <c r="A35" t="s">
        <v>123</v>
      </c>
      <c r="C35" s="198" t="s">
        <v>207</v>
      </c>
      <c r="D35" s="110"/>
      <c r="E35" s="110"/>
    </row>
    <row r="36" spans="1:5" ht="15">
      <c r="A36" s="96" t="s">
        <v>180</v>
      </c>
      <c r="B36" s="95">
        <f>SUM(B37:B39)</f>
        <v>134075.23</v>
      </c>
      <c r="C36" s="199"/>
      <c r="D36" s="200">
        <f>SUM(D37:D39)</f>
        <v>130075.23000000001</v>
      </c>
      <c r="E36" s="203"/>
    </row>
    <row r="37" spans="1:5" ht="15">
      <c r="A37" s="5" t="s">
        <v>131</v>
      </c>
      <c r="B37" s="90">
        <v>10000</v>
      </c>
      <c r="C37" s="199">
        <v>1000</v>
      </c>
      <c r="D37" s="201">
        <f>B37-C37</f>
        <v>9000</v>
      </c>
      <c r="E37" s="102"/>
    </row>
    <row r="38" spans="1:5" ht="15">
      <c r="A38" s="5" t="s">
        <v>132</v>
      </c>
      <c r="B38" s="90">
        <v>86059.83</v>
      </c>
      <c r="C38" s="199">
        <v>3000</v>
      </c>
      <c r="D38" s="201">
        <f>B38-C38</f>
        <v>83059.83</v>
      </c>
      <c r="E38" s="102"/>
    </row>
    <row r="39" spans="1:5" ht="15">
      <c r="A39" s="51" t="s">
        <v>133</v>
      </c>
      <c r="B39" s="90">
        <v>38015.4</v>
      </c>
      <c r="C39" s="199"/>
      <c r="D39" s="201">
        <v>38015.4</v>
      </c>
      <c r="E39" s="102"/>
    </row>
    <row r="40" spans="1:5" ht="15">
      <c r="A40" t="s">
        <v>126</v>
      </c>
      <c r="B40" s="92">
        <v>-7166.61</v>
      </c>
      <c r="C40" s="199">
        <f>C37+C38</f>
        <v>4000</v>
      </c>
      <c r="D40" s="202">
        <f>B40+C40</f>
        <v>-3166.6099999999997</v>
      </c>
      <c r="E40" s="102"/>
    </row>
    <row r="41" spans="2:5" ht="15">
      <c r="B41" s="90"/>
      <c r="C41" s="102"/>
      <c r="D41" s="201"/>
      <c r="E41" s="102"/>
    </row>
    <row r="42" spans="1:5" ht="15">
      <c r="A42" s="94" t="s">
        <v>127</v>
      </c>
      <c r="C42" s="91">
        <f>SUM(B36+B40)</f>
        <v>126908.62000000001</v>
      </c>
      <c r="E42" s="203">
        <f>SUM(D36+D40)</f>
        <v>126908.62000000001</v>
      </c>
    </row>
    <row r="44" spans="1:3" ht="15">
      <c r="A44" s="2" t="s">
        <v>128</v>
      </c>
      <c r="C44" s="91">
        <f>SUM(C33+C42)</f>
        <v>126957.14000000001</v>
      </c>
    </row>
  </sheetData>
  <sheetProtection/>
  <printOptions gridLines="1"/>
  <pageMargins left="0.7" right="0.7" top="0.75" bottom="0.75" header="0.3" footer="0.3"/>
  <pageSetup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4"/>
  <sheetViews>
    <sheetView view="pageLayout" workbookViewId="0" topLeftCell="A15">
      <selection activeCell="C39" sqref="C39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176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705.79</v>
      </c>
    </row>
    <row r="12" spans="1:2" ht="15">
      <c r="A12" s="5" t="s">
        <v>106</v>
      </c>
      <c r="B12" s="90">
        <v>118022.54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9150</v>
      </c>
    </row>
    <row r="15" spans="1:2" ht="15">
      <c r="A15" t="s">
        <v>136</v>
      </c>
      <c r="B15" s="21">
        <v>5615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134543.33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134543.33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68.1</v>
      </c>
    </row>
    <row r="32" spans="1:2" ht="15">
      <c r="A32" s="96" t="s">
        <v>149</v>
      </c>
      <c r="B32" s="97">
        <v>400</v>
      </c>
    </row>
    <row r="33" spans="1:3" ht="15">
      <c r="A33" s="94" t="s">
        <v>122</v>
      </c>
      <c r="B33" s="77">
        <f>SUM(B30:B32)</f>
        <v>468.1</v>
      </c>
      <c r="C33" s="91">
        <f>B33</f>
        <v>468.1</v>
      </c>
    </row>
    <row r="34" ht="15">
      <c r="C34" s="2"/>
    </row>
    <row r="35" spans="1:3" ht="15">
      <c r="A35" t="s">
        <v>123</v>
      </c>
      <c r="C35" s="2"/>
    </row>
    <row r="36" spans="1:3" ht="15">
      <c r="A36" s="96" t="s">
        <v>152</v>
      </c>
      <c r="B36" s="95">
        <f>SUM(B37:B39)</f>
        <v>151254.34</v>
      </c>
      <c r="C36" s="91"/>
    </row>
    <row r="37" spans="1:3" ht="15">
      <c r="A37" s="5" t="s">
        <v>131</v>
      </c>
      <c r="B37" s="90">
        <v>10000</v>
      </c>
      <c r="C37" s="2"/>
    </row>
    <row r="38" spans="1:3" ht="15">
      <c r="A38" s="5" t="s">
        <v>132</v>
      </c>
      <c r="B38" s="90">
        <v>86059.83</v>
      </c>
      <c r="C38" s="2"/>
    </row>
    <row r="39" spans="1:3" ht="15">
      <c r="A39" s="51" t="s">
        <v>133</v>
      </c>
      <c r="B39" s="90">
        <v>55194.51</v>
      </c>
      <c r="C39" s="2"/>
    </row>
    <row r="40" spans="1:3" ht="15">
      <c r="A40" t="s">
        <v>126</v>
      </c>
      <c r="B40" s="92">
        <v>-17179.11</v>
      </c>
      <c r="C40" s="2"/>
    </row>
    <row r="41" spans="2:3" ht="15">
      <c r="B41" s="90"/>
      <c r="C41" s="2"/>
    </row>
    <row r="42" spans="1:3" ht="15">
      <c r="A42" s="94" t="s">
        <v>127</v>
      </c>
      <c r="C42" s="91">
        <f>SUM(B36+B40)</f>
        <v>134075.22999999998</v>
      </c>
    </row>
    <row r="44" spans="1:3" ht="15">
      <c r="A44" s="2" t="s">
        <v>128</v>
      </c>
      <c r="C44" s="91">
        <f>SUM(C33+C42)</f>
        <v>134543.33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6">
      <selection activeCell="H31" sqref="H31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148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6759.84</v>
      </c>
    </row>
    <row r="12" spans="1:2" ht="15">
      <c r="A12" s="5" t="s">
        <v>106</v>
      </c>
      <c r="B12" s="90">
        <v>125511.41</v>
      </c>
    </row>
    <row r="13" spans="1:2" ht="15">
      <c r="A13" t="s">
        <v>107</v>
      </c>
      <c r="B13" s="21">
        <v>10000</v>
      </c>
    </row>
    <row r="14" spans="1:2" ht="15">
      <c r="A14" t="s">
        <v>135</v>
      </c>
      <c r="B14" s="21">
        <v>8500</v>
      </c>
    </row>
    <row r="15" spans="1:2" ht="15">
      <c r="A15" t="s">
        <v>136</v>
      </c>
      <c r="B15" s="21">
        <v>0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151821.25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151821.25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96.9</v>
      </c>
    </row>
    <row r="32" spans="1:2" ht="15">
      <c r="A32" s="96" t="s">
        <v>149</v>
      </c>
      <c r="B32" s="97">
        <v>470</v>
      </c>
    </row>
    <row r="33" spans="1:3" ht="15">
      <c r="A33" s="94" t="s">
        <v>122</v>
      </c>
      <c r="B33" s="77">
        <f>SUM(B30:B32)</f>
        <v>566.9</v>
      </c>
      <c r="C33" s="91">
        <f>B33</f>
        <v>566.9</v>
      </c>
    </row>
    <row r="34" ht="15">
      <c r="C34" s="2"/>
    </row>
    <row r="35" spans="1:3" ht="15">
      <c r="A35" t="s">
        <v>123</v>
      </c>
      <c r="C35" s="2"/>
    </row>
    <row r="36" spans="1:3" ht="15">
      <c r="A36" s="96" t="s">
        <v>139</v>
      </c>
      <c r="B36" s="95">
        <f>SUM(B37:B39)</f>
        <v>157376.32</v>
      </c>
      <c r="C36" s="91"/>
    </row>
    <row r="37" spans="1:3" ht="15">
      <c r="A37" s="5" t="s">
        <v>131</v>
      </c>
      <c r="B37" s="90">
        <v>10000</v>
      </c>
      <c r="C37" s="2"/>
    </row>
    <row r="38" spans="1:3" ht="15">
      <c r="A38" s="5" t="s">
        <v>132</v>
      </c>
      <c r="B38" s="90">
        <v>86059.83</v>
      </c>
      <c r="C38" s="2"/>
    </row>
    <row r="39" spans="1:3" ht="15">
      <c r="A39" s="51" t="s">
        <v>133</v>
      </c>
      <c r="B39" s="90">
        <v>61316.49</v>
      </c>
      <c r="C39" s="2"/>
    </row>
    <row r="40" spans="1:3" ht="15">
      <c r="A40" t="s">
        <v>126</v>
      </c>
      <c r="B40" s="92">
        <v>-6121.98</v>
      </c>
      <c r="C40" s="2"/>
    </row>
    <row r="41" spans="2:3" ht="15">
      <c r="B41" s="90"/>
      <c r="C41" s="2"/>
    </row>
    <row r="42" spans="1:3" ht="15">
      <c r="A42" s="94" t="s">
        <v>127</v>
      </c>
      <c r="C42" s="91">
        <f>SUM(B36+B40)</f>
        <v>151254.34</v>
      </c>
    </row>
    <row r="44" spans="1:3" ht="15">
      <c r="A44" s="2" t="s">
        <v>128</v>
      </c>
      <c r="C44" s="91">
        <f>SUM(C33+C42)</f>
        <v>151821.24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1">
      <selection activeCell="A30" sqref="A30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134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22391.8</v>
      </c>
    </row>
    <row r="12" spans="1:2" ht="15">
      <c r="A12" s="5" t="s">
        <v>106</v>
      </c>
      <c r="B12" s="90">
        <v>129747.23</v>
      </c>
    </row>
    <row r="13" spans="1:2" ht="15">
      <c r="A13" t="s">
        <v>108</v>
      </c>
      <c r="B13" s="21"/>
    </row>
    <row r="14" spans="1:2" ht="15">
      <c r="A14" t="s">
        <v>135</v>
      </c>
      <c r="B14" s="21">
        <v>1650</v>
      </c>
    </row>
    <row r="15" spans="1:2" ht="15">
      <c r="A15" t="s">
        <v>136</v>
      </c>
      <c r="B15" s="21">
        <v>3000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157839.03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157839.03</v>
      </c>
    </row>
    <row r="29" ht="15">
      <c r="A29" s="2" t="s">
        <v>119</v>
      </c>
    </row>
    <row r="30" spans="1:5" ht="15">
      <c r="A30" t="s">
        <v>129</v>
      </c>
      <c r="B30" s="93"/>
      <c r="C30" s="5"/>
      <c r="E30" s="5"/>
    </row>
    <row r="31" spans="1:2" ht="15">
      <c r="A31" s="96" t="s">
        <v>121</v>
      </c>
      <c r="B31" s="97">
        <v>462.71</v>
      </c>
    </row>
    <row r="32" spans="1:3" ht="15">
      <c r="A32" s="94" t="s">
        <v>122</v>
      </c>
      <c r="B32" s="77">
        <f>SUM(B30:B31)</f>
        <v>462.71</v>
      </c>
      <c r="C32" s="91">
        <f>B32</f>
        <v>462.71</v>
      </c>
    </row>
    <row r="33" ht="15">
      <c r="C33" s="2"/>
    </row>
    <row r="34" spans="1:3" ht="15">
      <c r="A34" t="s">
        <v>123</v>
      </c>
      <c r="C34" s="2"/>
    </row>
    <row r="35" spans="1:3" ht="15">
      <c r="A35" s="96" t="s">
        <v>130</v>
      </c>
      <c r="B35" s="95">
        <v>152889.21</v>
      </c>
      <c r="C35" s="91"/>
    </row>
    <row r="36" spans="1:3" ht="15">
      <c r="A36" s="5" t="s">
        <v>131</v>
      </c>
      <c r="B36" s="90">
        <v>10000</v>
      </c>
      <c r="C36" s="2"/>
    </row>
    <row r="37" spans="1:3" ht="15">
      <c r="A37" s="5" t="s">
        <v>132</v>
      </c>
      <c r="B37" s="90">
        <v>90059.83</v>
      </c>
      <c r="C37" s="2"/>
    </row>
    <row r="38" spans="1:3" ht="15">
      <c r="A38" s="51" t="s">
        <v>133</v>
      </c>
      <c r="B38" s="90">
        <f>B35-B36-B37</f>
        <v>52829.37999999999</v>
      </c>
      <c r="C38" s="2"/>
    </row>
    <row r="39" spans="1:3" ht="15">
      <c r="A39" t="s">
        <v>126</v>
      </c>
      <c r="B39" s="92">
        <v>4487.11</v>
      </c>
      <c r="C39" s="2"/>
    </row>
    <row r="40" spans="2:3" ht="15">
      <c r="B40" s="90"/>
      <c r="C40" s="2"/>
    </row>
    <row r="41" spans="1:3" ht="15">
      <c r="A41" s="94" t="s">
        <v>127</v>
      </c>
      <c r="C41" s="91">
        <f>SUM(B35+B39)</f>
        <v>157376.31999999998</v>
      </c>
    </row>
    <row r="43" spans="1:3" ht="15">
      <c r="A43" s="2" t="s">
        <v>128</v>
      </c>
      <c r="C43" s="91">
        <f>SUM(C32+C41)</f>
        <v>157839.02999999997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9">
      <selection activeCell="B33" sqref="B33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>
        <v>41152</v>
      </c>
      <c r="B6" s="2"/>
      <c r="C6" s="85"/>
      <c r="D6" s="85"/>
    </row>
    <row r="7" ht="15">
      <c r="A7" s="88">
        <v>41176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2217.45</v>
      </c>
    </row>
    <row r="12" spans="1:2" ht="15">
      <c r="A12" s="5" t="s">
        <v>106</v>
      </c>
      <c r="B12" s="90">
        <v>133879.74</v>
      </c>
    </row>
    <row r="13" spans="1:2" ht="15">
      <c r="A13" t="s">
        <v>107</v>
      </c>
      <c r="B13" s="21">
        <v>10000</v>
      </c>
    </row>
    <row r="14" spans="1:2" ht="15">
      <c r="A14" t="s">
        <v>108</v>
      </c>
      <c r="B14" s="21">
        <v>1311.65</v>
      </c>
    </row>
    <row r="15" spans="1:2" ht="15">
      <c r="A15" t="s">
        <v>109</v>
      </c>
      <c r="B15" s="21">
        <v>4600</v>
      </c>
    </row>
    <row r="16" spans="1:2" ht="15">
      <c r="A16" t="s">
        <v>110</v>
      </c>
      <c r="B16" s="21">
        <v>1050</v>
      </c>
    </row>
    <row r="17" spans="1:5" ht="15">
      <c r="A17" s="5" t="s">
        <v>111</v>
      </c>
      <c r="B17" s="90">
        <v>3</v>
      </c>
      <c r="E17" s="5"/>
    </row>
    <row r="18" spans="1:2" ht="15">
      <c r="A18" t="s">
        <v>112</v>
      </c>
      <c r="B18" s="90"/>
    </row>
    <row r="19" spans="1:3" ht="15">
      <c r="A19" t="s">
        <v>113</v>
      </c>
      <c r="C19" s="91">
        <f>SUM(B11+B12+B13+B15+B14+B16+B17)</f>
        <v>153061.84</v>
      </c>
    </row>
    <row r="21" ht="15">
      <c r="A21" t="s">
        <v>114</v>
      </c>
    </row>
    <row r="22" spans="1:2" ht="15">
      <c r="A22" t="s">
        <v>115</v>
      </c>
      <c r="B22" s="90">
        <v>0</v>
      </c>
    </row>
    <row r="23" spans="1:2" ht="15">
      <c r="A23" t="s">
        <v>116</v>
      </c>
      <c r="B23" s="90">
        <v>0</v>
      </c>
    </row>
    <row r="24" ht="15">
      <c r="B24" s="90"/>
    </row>
    <row r="25" spans="1:3" ht="15">
      <c r="A25" t="s">
        <v>117</v>
      </c>
      <c r="C25" s="90">
        <v>0</v>
      </c>
    </row>
    <row r="27" spans="1:3" ht="15">
      <c r="A27" s="2" t="s">
        <v>118</v>
      </c>
      <c r="C27" s="92">
        <f>SUM(C19+C25)</f>
        <v>153061.84</v>
      </c>
    </row>
    <row r="30" ht="15">
      <c r="A30" s="2" t="s">
        <v>119</v>
      </c>
    </row>
    <row r="31" spans="1:5" ht="15">
      <c r="A31" t="s">
        <v>120</v>
      </c>
      <c r="B31" s="93">
        <v>126.11</v>
      </c>
      <c r="C31" s="5"/>
      <c r="E31" s="5"/>
    </row>
    <row r="32" spans="1:2" ht="15">
      <c r="A32" s="5" t="s">
        <v>121</v>
      </c>
      <c r="B32" s="93">
        <v>46.52</v>
      </c>
    </row>
    <row r="33" spans="1:3" ht="15">
      <c r="A33" t="s">
        <v>122</v>
      </c>
      <c r="B33" s="77">
        <f>SUM(B31:B32)</f>
        <v>172.63</v>
      </c>
      <c r="C33" s="91">
        <f>B33</f>
        <v>172.63</v>
      </c>
    </row>
    <row r="34" ht="15">
      <c r="C34" s="2"/>
    </row>
    <row r="35" spans="1:3" ht="15">
      <c r="A35" t="s">
        <v>123</v>
      </c>
      <c r="C35" s="2"/>
    </row>
    <row r="36" spans="1:3" ht="15">
      <c r="A36" s="5" t="s">
        <v>124</v>
      </c>
      <c r="B36" s="90">
        <v>60619.55</v>
      </c>
      <c r="C36" s="2"/>
    </row>
    <row r="37" spans="1:3" ht="15">
      <c r="A37" t="s">
        <v>125</v>
      </c>
      <c r="B37" s="90"/>
      <c r="C37" s="2"/>
    </row>
    <row r="38" spans="1:3" ht="15">
      <c r="A38" t="s">
        <v>126</v>
      </c>
      <c r="B38" s="93">
        <v>92269.66</v>
      </c>
      <c r="C38" s="2"/>
    </row>
    <row r="39" spans="2:3" ht="15">
      <c r="B39" s="90"/>
      <c r="C39" s="2"/>
    </row>
    <row r="40" spans="1:3" ht="15">
      <c r="A40" t="s">
        <v>127</v>
      </c>
      <c r="C40" s="91">
        <f>SUM(B36+B38)</f>
        <v>152889.21000000002</v>
      </c>
    </row>
    <row r="42" spans="1:3" ht="15">
      <c r="A42" s="2" t="s">
        <v>128</v>
      </c>
      <c r="C42" s="91">
        <f>SUM(C33+C40)</f>
        <v>153061.84000000003</v>
      </c>
    </row>
  </sheetData>
  <sheetProtection selectLockedCells="1" selectUnlockedCells="1"/>
  <printOptions gridLines="1" headings="1"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4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AV56" sqref="AV56"/>
    </sheetView>
  </sheetViews>
  <sheetFormatPr defaultColWidth="9.140625" defaultRowHeight="15"/>
  <cols>
    <col min="1" max="1" width="43.140625" style="0" customWidth="1"/>
    <col min="2" max="2" width="14.00390625" style="0" hidden="1" customWidth="1"/>
    <col min="3" max="3" width="1.8515625" style="0" hidden="1" customWidth="1"/>
    <col min="4" max="5" width="0" style="0" hidden="1" customWidth="1"/>
    <col min="6" max="6" width="16.140625" style="1" hidden="1" customWidth="1"/>
    <col min="7" max="7" width="2.28125" style="1" hidden="1" customWidth="1"/>
    <col min="8" max="8" width="14.8515625" style="0" hidden="1" customWidth="1"/>
    <col min="9" max="9" width="0.42578125" style="0" hidden="1" customWidth="1"/>
    <col min="10" max="10" width="0.13671875" style="0" hidden="1" customWidth="1"/>
    <col min="11" max="11" width="0.2890625" style="0" hidden="1" customWidth="1"/>
    <col min="12" max="12" width="13.7109375" style="0" hidden="1" customWidth="1"/>
    <col min="13" max="13" width="13.8515625" style="0" hidden="1" customWidth="1"/>
    <col min="14" max="14" width="22.7109375" style="0" hidden="1" customWidth="1"/>
    <col min="15" max="15" width="12.140625" style="0" hidden="1" customWidth="1"/>
    <col min="16" max="16" width="0.85546875" style="0" hidden="1" customWidth="1"/>
    <col min="17" max="17" width="0.13671875" style="0" hidden="1" customWidth="1"/>
    <col min="18" max="18" width="0.13671875" style="110" customWidth="1"/>
    <col min="19" max="19" width="14.421875" style="110" hidden="1" customWidth="1"/>
    <col min="20" max="21" width="0.13671875" style="0" hidden="1" customWidth="1"/>
    <col min="22" max="23" width="15.57421875" style="0" hidden="1" customWidth="1"/>
    <col min="24" max="24" width="15.7109375" style="0" hidden="1" customWidth="1"/>
    <col min="25" max="25" width="18.140625" style="0" hidden="1" customWidth="1"/>
    <col min="26" max="26" width="17.7109375" style="0" customWidth="1"/>
    <col min="27" max="27" width="19.140625" style="138" hidden="1" customWidth="1"/>
    <col min="28" max="28" width="4.421875" style="138" hidden="1" customWidth="1"/>
    <col min="29" max="29" width="4.00390625" style="116" hidden="1" customWidth="1"/>
    <col min="30" max="30" width="0.13671875" style="116" customWidth="1"/>
    <col min="31" max="31" width="0.13671875" style="116" hidden="1" customWidth="1"/>
    <col min="32" max="32" width="18.00390625" style="116" hidden="1" customWidth="1"/>
    <col min="33" max="33" width="18.00390625" style="116" customWidth="1"/>
    <col min="34" max="34" width="6.421875" style="189" customWidth="1"/>
    <col min="35" max="35" width="17.7109375" style="116" hidden="1" customWidth="1"/>
    <col min="36" max="36" width="16.140625" style="116" hidden="1" customWidth="1"/>
    <col min="37" max="37" width="15.8515625" style="116" hidden="1" customWidth="1"/>
    <col min="38" max="38" width="18.00390625" style="116" customWidth="1"/>
    <col min="39" max="39" width="0.13671875" style="116" customWidth="1"/>
    <col min="40" max="40" width="18.00390625" style="116" customWidth="1"/>
    <col min="41" max="41" width="6.28125" style="189" customWidth="1"/>
    <col min="42" max="42" width="18.00390625" style="116" hidden="1" customWidth="1"/>
    <col min="43" max="43" width="17.28125" style="116" hidden="1" customWidth="1"/>
    <col min="44" max="44" width="0.13671875" style="116" hidden="1" customWidth="1"/>
    <col min="45" max="45" width="17.00390625" style="116" customWidth="1"/>
    <col min="46" max="46" width="0.2890625" style="116" hidden="1" customWidth="1"/>
    <col min="47" max="47" width="18.140625" style="116" customWidth="1"/>
    <col min="48" max="48" width="17.28125" style="116" customWidth="1"/>
    <col min="49" max="49" width="6.421875" style="189" customWidth="1"/>
    <col min="50" max="50" width="20.28125" style="138" customWidth="1"/>
    <col min="51" max="51" width="18.57421875" style="138" customWidth="1"/>
    <col min="52" max="52" width="17.7109375" style="0" customWidth="1"/>
    <col min="53" max="53" width="14.8515625" style="138" customWidth="1"/>
  </cols>
  <sheetData>
    <row r="1" spans="21:48" ht="15">
      <c r="U1" s="110"/>
      <c r="V1" s="110"/>
      <c r="W1" s="110"/>
      <c r="Z1" s="110"/>
      <c r="AE1" s="110"/>
      <c r="AF1" s="110"/>
      <c r="AG1" s="110"/>
      <c r="AJ1" s="110"/>
      <c r="AK1" s="110"/>
      <c r="AL1" s="110"/>
      <c r="AM1" s="110"/>
      <c r="AN1" s="110"/>
      <c r="AP1" s="110"/>
      <c r="AQ1" s="110"/>
      <c r="AR1" s="110"/>
      <c r="AS1" s="110"/>
      <c r="AT1" s="110"/>
      <c r="AU1" s="110"/>
      <c r="AV1" s="110"/>
    </row>
    <row r="2" spans="1:49" ht="15">
      <c r="A2" s="2" t="s">
        <v>0</v>
      </c>
      <c r="D2" s="3" t="s">
        <v>1</v>
      </c>
      <c r="E2" s="3"/>
      <c r="F2" s="4"/>
      <c r="G2" s="4"/>
      <c r="H2" s="3" t="s">
        <v>2</v>
      </c>
      <c r="I2" s="3" t="s">
        <v>2</v>
      </c>
      <c r="J2" s="3"/>
      <c r="K2" s="3" t="s">
        <v>3</v>
      </c>
      <c r="L2" s="3" t="s">
        <v>3</v>
      </c>
      <c r="M2" s="3" t="s">
        <v>3</v>
      </c>
      <c r="N2" s="3" t="s">
        <v>3</v>
      </c>
      <c r="O2" s="3"/>
      <c r="P2" s="3" t="s">
        <v>4</v>
      </c>
      <c r="Q2" s="3" t="s">
        <v>4</v>
      </c>
      <c r="R2" s="131" t="s">
        <v>4</v>
      </c>
      <c r="S2" s="131" t="s">
        <v>4</v>
      </c>
      <c r="T2" s="3" t="s">
        <v>5</v>
      </c>
      <c r="U2" s="131" t="s">
        <v>5</v>
      </c>
      <c r="V2" s="131" t="s">
        <v>5</v>
      </c>
      <c r="W2" s="131" t="s">
        <v>5</v>
      </c>
      <c r="Y2" s="3" t="s">
        <v>183</v>
      </c>
      <c r="Z2" s="131" t="s">
        <v>183</v>
      </c>
      <c r="AA2" s="3" t="s">
        <v>183</v>
      </c>
      <c r="AB2" s="3" t="s">
        <v>183</v>
      </c>
      <c r="AC2" s="3"/>
      <c r="AD2" s="3" t="s">
        <v>218</v>
      </c>
      <c r="AE2" s="131" t="s">
        <v>218</v>
      </c>
      <c r="AF2" s="131" t="s">
        <v>218</v>
      </c>
      <c r="AG2" s="131" t="s">
        <v>218</v>
      </c>
      <c r="AH2" s="228"/>
      <c r="AI2" s="3" t="s">
        <v>263</v>
      </c>
      <c r="AJ2" s="131" t="s">
        <v>263</v>
      </c>
      <c r="AK2" s="3" t="s">
        <v>263</v>
      </c>
      <c r="AL2" s="131" t="s">
        <v>263</v>
      </c>
      <c r="AM2" s="131"/>
      <c r="AN2" s="3" t="s">
        <v>279</v>
      </c>
      <c r="AO2" s="228"/>
      <c r="AP2" s="3" t="s">
        <v>279</v>
      </c>
      <c r="AQ2" s="3" t="s">
        <v>282</v>
      </c>
      <c r="AR2" s="3" t="s">
        <v>282</v>
      </c>
      <c r="AS2" s="3" t="s">
        <v>282</v>
      </c>
      <c r="AT2" s="3" t="s">
        <v>282</v>
      </c>
      <c r="AU2" s="3" t="s">
        <v>299</v>
      </c>
      <c r="AV2" s="3" t="s">
        <v>299</v>
      </c>
      <c r="AW2" s="228"/>
    </row>
    <row r="3" spans="1:49" ht="15">
      <c r="A3" s="5" t="s">
        <v>301</v>
      </c>
      <c r="B3" s="6" t="s">
        <v>6</v>
      </c>
      <c r="C3" s="6"/>
      <c r="D3" s="3" t="s">
        <v>7</v>
      </c>
      <c r="E3" s="3"/>
      <c r="F3" s="7" t="s">
        <v>8</v>
      </c>
      <c r="G3" s="7"/>
      <c r="H3" s="3" t="s">
        <v>7</v>
      </c>
      <c r="I3" s="3" t="s">
        <v>9</v>
      </c>
      <c r="J3" s="3"/>
      <c r="K3" s="3" t="s">
        <v>7</v>
      </c>
      <c r="L3" s="3" t="s">
        <v>150</v>
      </c>
      <c r="M3" s="3" t="s">
        <v>10</v>
      </c>
      <c r="N3" s="3" t="s">
        <v>11</v>
      </c>
      <c r="O3" s="3"/>
      <c r="P3" s="3" t="s">
        <v>7</v>
      </c>
      <c r="Q3" s="3" t="s">
        <v>7</v>
      </c>
      <c r="R3" s="131" t="s">
        <v>150</v>
      </c>
      <c r="S3" s="131" t="s">
        <v>154</v>
      </c>
      <c r="T3" s="3" t="s">
        <v>7</v>
      </c>
      <c r="U3" s="131" t="s">
        <v>178</v>
      </c>
      <c r="V3" s="131" t="s">
        <v>150</v>
      </c>
      <c r="W3" s="131" t="s">
        <v>154</v>
      </c>
      <c r="Y3" s="3" t="s">
        <v>7</v>
      </c>
      <c r="Z3" s="131" t="s">
        <v>150</v>
      </c>
      <c r="AA3" s="3" t="s">
        <v>210</v>
      </c>
      <c r="AB3" s="3" t="s">
        <v>184</v>
      </c>
      <c r="AC3" s="3"/>
      <c r="AD3" s="3" t="s">
        <v>7</v>
      </c>
      <c r="AE3" s="131" t="s">
        <v>178</v>
      </c>
      <c r="AF3" s="131" t="s">
        <v>241</v>
      </c>
      <c r="AG3" s="131" t="s">
        <v>256</v>
      </c>
      <c r="AH3" s="228"/>
      <c r="AI3" s="3" t="s">
        <v>7</v>
      </c>
      <c r="AJ3" s="131" t="s">
        <v>178</v>
      </c>
      <c r="AK3" s="3" t="s">
        <v>7</v>
      </c>
      <c r="AL3" s="131" t="s">
        <v>241</v>
      </c>
      <c r="AM3" s="131"/>
      <c r="AN3" s="3" t="s">
        <v>241</v>
      </c>
      <c r="AO3" s="228"/>
      <c r="AP3" s="3" t="s">
        <v>7</v>
      </c>
      <c r="AQ3" s="3" t="s">
        <v>7</v>
      </c>
      <c r="AR3" s="3" t="s">
        <v>295</v>
      </c>
      <c r="AS3" s="3" t="s">
        <v>241</v>
      </c>
      <c r="AT3" s="3" t="s">
        <v>210</v>
      </c>
      <c r="AU3" s="3" t="s">
        <v>7</v>
      </c>
      <c r="AV3" s="3" t="s">
        <v>304</v>
      </c>
      <c r="AW3" s="228"/>
    </row>
    <row r="4" spans="1:50" ht="15">
      <c r="A4" s="88"/>
      <c r="B4" s="8">
        <v>40786</v>
      </c>
      <c r="C4" s="8"/>
      <c r="D4" s="8">
        <v>40819</v>
      </c>
      <c r="E4" s="8"/>
      <c r="F4" s="9">
        <v>41152</v>
      </c>
      <c r="G4" s="9"/>
      <c r="H4" s="8">
        <v>41176</v>
      </c>
      <c r="I4" s="8">
        <v>41517</v>
      </c>
      <c r="J4" s="8"/>
      <c r="K4" s="8"/>
      <c r="L4" s="8">
        <v>41882</v>
      </c>
      <c r="M4" s="8">
        <v>41851</v>
      </c>
      <c r="N4" s="8">
        <v>41882</v>
      </c>
      <c r="O4" s="8"/>
      <c r="R4" s="101">
        <v>42247</v>
      </c>
      <c r="S4" s="101" t="s">
        <v>153</v>
      </c>
      <c r="T4" s="8"/>
      <c r="U4" s="101" t="s">
        <v>181</v>
      </c>
      <c r="V4" s="101">
        <v>42613</v>
      </c>
      <c r="W4" s="101" t="s">
        <v>153</v>
      </c>
      <c r="Y4" s="8" t="s">
        <v>200</v>
      </c>
      <c r="Z4" s="101">
        <v>42978</v>
      </c>
      <c r="AA4" s="8" t="s">
        <v>200</v>
      </c>
      <c r="AB4" s="8" t="s">
        <v>169</v>
      </c>
      <c r="AC4" s="8"/>
      <c r="AD4" s="8" t="s">
        <v>200</v>
      </c>
      <c r="AE4" s="101" t="s">
        <v>234</v>
      </c>
      <c r="AF4" s="101" t="s">
        <v>153</v>
      </c>
      <c r="AG4" s="101">
        <v>43343</v>
      </c>
      <c r="AH4" s="229"/>
      <c r="AI4" s="8" t="s">
        <v>200</v>
      </c>
      <c r="AJ4" s="101" t="s">
        <v>271</v>
      </c>
      <c r="AK4" s="8" t="s">
        <v>200</v>
      </c>
      <c r="AL4" s="101">
        <v>43708</v>
      </c>
      <c r="AM4" s="101"/>
      <c r="AN4" s="8" t="s">
        <v>200</v>
      </c>
      <c r="AO4" s="229"/>
      <c r="AP4" s="8" t="s">
        <v>200</v>
      </c>
      <c r="AQ4" s="8" t="s">
        <v>200</v>
      </c>
      <c r="AR4" s="8" t="s">
        <v>181</v>
      </c>
      <c r="AS4" s="8" t="s">
        <v>200</v>
      </c>
      <c r="AT4" s="8"/>
      <c r="AU4" s="8" t="s">
        <v>200</v>
      </c>
      <c r="AV4" s="8" t="s">
        <v>200</v>
      </c>
      <c r="AW4" s="229"/>
      <c r="AX4" s="214" t="s">
        <v>205</v>
      </c>
    </row>
    <row r="5" spans="1:52" ht="15">
      <c r="A5" s="2" t="s">
        <v>12</v>
      </c>
      <c r="B5" s="10"/>
      <c r="C5" s="10"/>
      <c r="D5" s="11"/>
      <c r="E5" s="11"/>
      <c r="F5" s="4"/>
      <c r="G5" s="4"/>
      <c r="I5" s="12">
        <v>41646</v>
      </c>
      <c r="J5" s="12"/>
      <c r="K5" s="12">
        <v>41527</v>
      </c>
      <c r="L5" s="12">
        <v>41961</v>
      </c>
      <c r="M5" s="13">
        <v>41860</v>
      </c>
      <c r="N5" s="13">
        <v>41869</v>
      </c>
      <c r="O5" s="13"/>
      <c r="P5" s="114">
        <v>41710</v>
      </c>
      <c r="Q5" s="114">
        <v>41869</v>
      </c>
      <c r="R5" s="129">
        <v>42308</v>
      </c>
      <c r="S5" s="129">
        <v>42219</v>
      </c>
      <c r="T5" s="114">
        <v>42240</v>
      </c>
      <c r="U5" s="129">
        <v>42521</v>
      </c>
      <c r="V5" s="129">
        <v>42685</v>
      </c>
      <c r="W5" s="129">
        <v>42613</v>
      </c>
      <c r="Y5" s="114">
        <v>42604</v>
      </c>
      <c r="Z5" s="212">
        <v>43014</v>
      </c>
      <c r="AA5" s="114">
        <v>42891</v>
      </c>
      <c r="AB5" s="114">
        <v>42597</v>
      </c>
      <c r="AC5" s="114"/>
      <c r="AD5" s="114">
        <v>43013</v>
      </c>
      <c r="AE5" s="212">
        <v>43220</v>
      </c>
      <c r="AF5" s="212">
        <v>43343</v>
      </c>
      <c r="AG5" s="212">
        <v>43434</v>
      </c>
      <c r="AH5" s="230"/>
      <c r="AI5" s="114">
        <v>43382</v>
      </c>
      <c r="AJ5" s="212">
        <v>43524</v>
      </c>
      <c r="AK5" s="114">
        <v>43636</v>
      </c>
      <c r="AL5" s="212">
        <v>43773</v>
      </c>
      <c r="AM5" s="212"/>
      <c r="AN5" s="114">
        <v>43888</v>
      </c>
      <c r="AO5" s="230"/>
      <c r="AP5" s="114">
        <v>43773</v>
      </c>
      <c r="AQ5" s="114">
        <v>43773</v>
      </c>
      <c r="AR5" s="114">
        <v>44043</v>
      </c>
      <c r="AS5" s="114">
        <v>44135</v>
      </c>
      <c r="AT5" s="114"/>
      <c r="AU5" s="12">
        <v>44099</v>
      </c>
      <c r="AV5" s="12">
        <v>44316</v>
      </c>
      <c r="AW5" s="230"/>
      <c r="AX5" s="151" t="s">
        <v>195</v>
      </c>
      <c r="AY5" s="151" t="s">
        <v>191</v>
      </c>
      <c r="AZ5" s="94" t="s">
        <v>192</v>
      </c>
    </row>
    <row r="6" spans="1:52" ht="15">
      <c r="A6" s="2"/>
      <c r="B6" s="10"/>
      <c r="C6" s="10"/>
      <c r="D6" s="11"/>
      <c r="E6" s="11"/>
      <c r="F6" s="4"/>
      <c r="G6" s="4"/>
      <c r="I6" s="14"/>
      <c r="J6" s="14"/>
      <c r="K6" s="14"/>
      <c r="L6" s="14"/>
      <c r="M6" s="14"/>
      <c r="N6" s="14"/>
      <c r="O6" s="14"/>
      <c r="P6" s="14"/>
      <c r="Q6" s="14"/>
      <c r="R6" s="102"/>
      <c r="S6" s="102"/>
      <c r="T6" s="14"/>
      <c r="U6" s="14"/>
      <c r="V6" s="129"/>
      <c r="W6" s="14"/>
      <c r="Y6" s="181"/>
      <c r="Z6" s="129"/>
      <c r="AA6" s="222" t="s">
        <v>211</v>
      </c>
      <c r="AD6" s="255" t="s">
        <v>240</v>
      </c>
      <c r="AE6" s="129" t="s">
        <v>243</v>
      </c>
      <c r="AF6" s="129" t="s">
        <v>242</v>
      </c>
      <c r="AG6" s="129"/>
      <c r="AI6" s="265" t="s">
        <v>264</v>
      </c>
      <c r="AJ6" s="129" t="s">
        <v>272</v>
      </c>
      <c r="AK6" s="12" t="s">
        <v>278</v>
      </c>
      <c r="AL6" s="129" t="s">
        <v>290</v>
      </c>
      <c r="AM6" s="129"/>
      <c r="AN6" s="12" t="s">
        <v>290</v>
      </c>
      <c r="AP6" s="12" t="s">
        <v>288</v>
      </c>
      <c r="AQ6" s="12" t="s">
        <v>288</v>
      </c>
      <c r="AR6" s="12">
        <v>44099</v>
      </c>
      <c r="AS6" s="12" t="s">
        <v>290</v>
      </c>
      <c r="AT6" s="12">
        <v>44099</v>
      </c>
      <c r="AU6" s="12"/>
      <c r="AV6" s="277" t="s">
        <v>305</v>
      </c>
      <c r="AX6" s="185" t="s">
        <v>183</v>
      </c>
      <c r="AY6" s="151" t="s">
        <v>186</v>
      </c>
      <c r="AZ6" s="151" t="s">
        <v>187</v>
      </c>
    </row>
    <row r="7" spans="1:52" ht="15">
      <c r="A7" s="117" t="s">
        <v>13</v>
      </c>
      <c r="B7" s="10"/>
      <c r="C7" s="10"/>
      <c r="D7" s="11"/>
      <c r="E7" s="11"/>
      <c r="F7" s="4"/>
      <c r="G7" s="4"/>
      <c r="I7" s="14"/>
      <c r="J7" s="14"/>
      <c r="K7" s="14"/>
      <c r="L7" s="14"/>
      <c r="M7" s="14"/>
      <c r="N7" s="14"/>
      <c r="O7" s="14"/>
      <c r="Q7" s="118" t="s">
        <v>140</v>
      </c>
      <c r="R7" s="102"/>
      <c r="S7" s="102"/>
      <c r="T7" s="119" t="s">
        <v>143</v>
      </c>
      <c r="U7" s="119"/>
      <c r="V7" s="119"/>
      <c r="W7" s="119"/>
      <c r="Y7" s="119" t="s">
        <v>182</v>
      </c>
      <c r="Z7" s="119" t="s">
        <v>230</v>
      </c>
      <c r="AA7" s="197"/>
      <c r="AD7" s="192" t="s">
        <v>219</v>
      </c>
      <c r="AE7" s="192" t="s">
        <v>219</v>
      </c>
      <c r="AF7" s="192" t="s">
        <v>219</v>
      </c>
      <c r="AG7" s="192" t="s">
        <v>219</v>
      </c>
      <c r="AH7" s="231"/>
      <c r="AI7" s="192" t="s">
        <v>266</v>
      </c>
      <c r="AJ7" s="192" t="s">
        <v>266</v>
      </c>
      <c r="AK7" s="192" t="s">
        <v>266</v>
      </c>
      <c r="AL7" s="192" t="s">
        <v>266</v>
      </c>
      <c r="AM7" s="192"/>
      <c r="AN7" s="192" t="s">
        <v>280</v>
      </c>
      <c r="AO7" s="231"/>
      <c r="AP7" s="192" t="s">
        <v>280</v>
      </c>
      <c r="AQ7" s="192" t="s">
        <v>287</v>
      </c>
      <c r="AR7" s="192"/>
      <c r="AS7" s="192"/>
      <c r="AT7" s="192" t="s">
        <v>287</v>
      </c>
      <c r="AU7" s="192" t="s">
        <v>300</v>
      </c>
      <c r="AV7" s="192"/>
      <c r="AW7" s="231"/>
      <c r="AZ7" s="138"/>
    </row>
    <row r="8" spans="1:53" ht="17.25" customHeight="1">
      <c r="A8" s="2" t="s">
        <v>14</v>
      </c>
      <c r="B8" s="10"/>
      <c r="C8" s="10"/>
      <c r="D8" s="11"/>
      <c r="E8" s="11"/>
      <c r="F8" s="4"/>
      <c r="G8" s="4"/>
      <c r="I8" s="14"/>
      <c r="J8" s="14"/>
      <c r="K8" s="14"/>
      <c r="L8" s="14"/>
      <c r="M8" s="14"/>
      <c r="N8" s="14"/>
      <c r="O8" s="14"/>
      <c r="Q8" s="14" t="s">
        <v>141</v>
      </c>
      <c r="R8" s="102"/>
      <c r="S8" s="102"/>
      <c r="T8" s="14" t="s">
        <v>142</v>
      </c>
      <c r="U8" s="14"/>
      <c r="V8" s="14"/>
      <c r="W8" s="14"/>
      <c r="Y8" s="185" t="s">
        <v>205</v>
      </c>
      <c r="Z8" s="185" t="s">
        <v>202</v>
      </c>
      <c r="AA8" s="185" t="s">
        <v>202</v>
      </c>
      <c r="AD8" s="185" t="s">
        <v>205</v>
      </c>
      <c r="AE8" s="185" t="s">
        <v>202</v>
      </c>
      <c r="AF8" s="185" t="s">
        <v>202</v>
      </c>
      <c r="AG8" s="185" t="s">
        <v>202</v>
      </c>
      <c r="AH8" s="232"/>
      <c r="AI8" s="185" t="s">
        <v>205</v>
      </c>
      <c r="AJ8" s="185"/>
      <c r="AK8" s="185"/>
      <c r="AL8" s="185"/>
      <c r="AM8" s="185"/>
      <c r="AN8" s="185"/>
      <c r="AO8" s="232"/>
      <c r="AP8" s="185"/>
      <c r="AQ8" s="185"/>
      <c r="AR8" s="185"/>
      <c r="AS8" s="185"/>
      <c r="AT8" s="185"/>
      <c r="AU8" s="185"/>
      <c r="AV8" s="185"/>
      <c r="AW8" s="232"/>
      <c r="AX8" s="145" t="s">
        <v>189</v>
      </c>
      <c r="AY8" s="138">
        <f>20*100</f>
        <v>2000</v>
      </c>
      <c r="AZ8" s="145">
        <f>10*100</f>
        <v>1000</v>
      </c>
      <c r="BA8" s="151">
        <f>AY8+AZ8</f>
        <v>3000</v>
      </c>
    </row>
    <row r="9" spans="1:53" ht="15.75" customHeight="1">
      <c r="A9" s="2" t="s">
        <v>15</v>
      </c>
      <c r="B9" s="15"/>
      <c r="C9" s="10"/>
      <c r="D9" s="11"/>
      <c r="E9" s="11"/>
      <c r="F9" s="4"/>
      <c r="G9" s="4"/>
      <c r="I9" s="16">
        <v>4800</v>
      </c>
      <c r="J9" s="16"/>
      <c r="K9" s="16">
        <v>4500</v>
      </c>
      <c r="L9" s="16">
        <v>2900</v>
      </c>
      <c r="M9" s="16">
        <v>1200</v>
      </c>
      <c r="N9" s="16">
        <v>2900</v>
      </c>
      <c r="O9" s="98"/>
      <c r="P9" s="14"/>
      <c r="Q9" s="99">
        <v>800</v>
      </c>
      <c r="R9" s="103">
        <v>2200</v>
      </c>
      <c r="S9" s="103">
        <v>2200</v>
      </c>
      <c r="T9" s="116">
        <v>0</v>
      </c>
      <c r="U9" s="116">
        <v>7100</v>
      </c>
      <c r="V9" s="199">
        <v>7100</v>
      </c>
      <c r="W9" s="116">
        <v>7100</v>
      </c>
      <c r="Y9" s="116">
        <f>AB9</f>
        <v>13000</v>
      </c>
      <c r="Z9" s="199">
        <v>10200</v>
      </c>
      <c r="AA9" s="138">
        <f>Z9</f>
        <v>10200</v>
      </c>
      <c r="AB9" s="138">
        <f>BA8+BA9</f>
        <v>13000</v>
      </c>
      <c r="AD9" s="138">
        <v>15000</v>
      </c>
      <c r="AE9" s="138">
        <v>9650</v>
      </c>
      <c r="AF9" s="138">
        <v>9650</v>
      </c>
      <c r="AG9" s="138">
        <v>9650</v>
      </c>
      <c r="AI9" s="138">
        <v>15000</v>
      </c>
      <c r="AJ9" s="138">
        <v>15300</v>
      </c>
      <c r="AK9" s="138">
        <v>15300</v>
      </c>
      <c r="AL9" s="138">
        <v>15300</v>
      </c>
      <c r="AM9" s="138">
        <v>33225</v>
      </c>
      <c r="AN9" s="138">
        <f>AM9-AL9</f>
        <v>17925</v>
      </c>
      <c r="AP9" s="138">
        <v>8000</v>
      </c>
      <c r="AQ9" s="138">
        <v>16250</v>
      </c>
      <c r="AR9" s="138"/>
      <c r="AS9" s="138">
        <v>9200</v>
      </c>
      <c r="AT9" s="138">
        <v>15000</v>
      </c>
      <c r="AU9" s="138">
        <v>16250</v>
      </c>
      <c r="AV9" s="138">
        <v>0</v>
      </c>
      <c r="AX9" s="145" t="s">
        <v>188</v>
      </c>
      <c r="AY9" s="138">
        <f>65*100</f>
        <v>6500</v>
      </c>
      <c r="AZ9" s="138">
        <f>35*100</f>
        <v>3500</v>
      </c>
      <c r="BA9" s="192">
        <f>AY9+AZ9</f>
        <v>10000</v>
      </c>
    </row>
    <row r="10" spans="1:53" ht="15.75" customHeight="1">
      <c r="A10" s="2" t="s">
        <v>281</v>
      </c>
      <c r="B10" s="15"/>
      <c r="C10" s="10"/>
      <c r="D10" s="11"/>
      <c r="E10" s="11"/>
      <c r="F10" s="4"/>
      <c r="G10" s="4"/>
      <c r="I10" s="16">
        <v>5100</v>
      </c>
      <c r="J10" s="16"/>
      <c r="K10" s="16">
        <v>5500</v>
      </c>
      <c r="L10" s="16">
        <v>4600</v>
      </c>
      <c r="M10" s="16">
        <v>600</v>
      </c>
      <c r="N10" s="16">
        <v>4600</v>
      </c>
      <c r="O10" s="98"/>
      <c r="P10" s="14"/>
      <c r="Q10" s="99">
        <v>2800</v>
      </c>
      <c r="R10" s="103">
        <v>2800</v>
      </c>
      <c r="S10" s="103">
        <v>2800</v>
      </c>
      <c r="T10" s="132">
        <v>3600</v>
      </c>
      <c r="U10" s="132">
        <v>2600</v>
      </c>
      <c r="V10" s="206">
        <v>2600</v>
      </c>
      <c r="W10" s="132">
        <v>2600</v>
      </c>
      <c r="Y10" s="132">
        <f>AB10</f>
        <v>6900</v>
      </c>
      <c r="Z10" s="199">
        <v>5600</v>
      </c>
      <c r="AA10" s="138">
        <f>Z10</f>
        <v>5600</v>
      </c>
      <c r="AB10" s="138">
        <f>BA10+BA12</f>
        <v>6900</v>
      </c>
      <c r="AD10" s="138">
        <v>9000</v>
      </c>
      <c r="AE10" s="138">
        <v>12800</v>
      </c>
      <c r="AF10" s="138">
        <v>12800</v>
      </c>
      <c r="AG10" s="138">
        <v>12800</v>
      </c>
      <c r="AI10" s="138">
        <v>9000</v>
      </c>
      <c r="AJ10" s="138">
        <v>23300</v>
      </c>
      <c r="AK10" s="138">
        <v>23300</v>
      </c>
      <c r="AL10" s="138">
        <v>23300</v>
      </c>
      <c r="AM10" s="138">
        <v>23300</v>
      </c>
      <c r="AN10" s="116">
        <v>9000</v>
      </c>
      <c r="AP10" s="138">
        <v>19050</v>
      </c>
      <c r="AQ10" s="138">
        <v>16300</v>
      </c>
      <c r="AR10" s="138"/>
      <c r="AS10" s="138">
        <v>15000</v>
      </c>
      <c r="AT10" s="138">
        <v>15000</v>
      </c>
      <c r="AU10" s="138">
        <v>16300</v>
      </c>
      <c r="AV10" s="138">
        <v>0</v>
      </c>
      <c r="AX10" s="145" t="s">
        <v>188</v>
      </c>
      <c r="AY10" s="145">
        <f>(4*250)+(6*200)</f>
        <v>2200</v>
      </c>
      <c r="AZ10" s="145">
        <f>(2*250)+(6*200)</f>
        <v>1700</v>
      </c>
      <c r="BA10" s="192">
        <f>AY10+AZ10</f>
        <v>3900</v>
      </c>
    </row>
    <row r="11" spans="1:53" ht="17.25" customHeight="1">
      <c r="A11" s="5" t="s">
        <v>220</v>
      </c>
      <c r="B11" s="15"/>
      <c r="C11" s="10"/>
      <c r="D11" s="11"/>
      <c r="E11" s="11"/>
      <c r="F11" s="4"/>
      <c r="G11" s="4"/>
      <c r="I11" s="16"/>
      <c r="J11" s="16"/>
      <c r="K11" s="16"/>
      <c r="L11" s="16"/>
      <c r="M11" s="16"/>
      <c r="N11" s="16"/>
      <c r="O11" s="98"/>
      <c r="P11" s="14"/>
      <c r="Q11" s="99"/>
      <c r="R11" s="103"/>
      <c r="S11" s="103"/>
      <c r="T11" s="132"/>
      <c r="U11" s="132"/>
      <c r="V11" s="206"/>
      <c r="W11" s="132"/>
      <c r="Y11" s="132"/>
      <c r="Z11" s="199"/>
      <c r="AD11" s="138">
        <v>10000</v>
      </c>
      <c r="AE11" s="138">
        <v>10330</v>
      </c>
      <c r="AF11" s="138">
        <v>10330</v>
      </c>
      <c r="AG11" s="138">
        <v>10330</v>
      </c>
      <c r="AH11" s="272"/>
      <c r="AI11" s="138">
        <v>10000</v>
      </c>
      <c r="AJ11" s="138"/>
      <c r="AK11" s="138"/>
      <c r="AL11" s="138"/>
      <c r="AM11" s="138">
        <v>5000</v>
      </c>
      <c r="AN11" s="138">
        <f>AM11-AL11</f>
        <v>5000</v>
      </c>
      <c r="AO11" s="272" t="s">
        <v>229</v>
      </c>
      <c r="AP11" s="138">
        <v>5000</v>
      </c>
      <c r="AQ11" s="138">
        <v>5000</v>
      </c>
      <c r="AR11" s="138"/>
      <c r="AS11" s="138">
        <v>10780</v>
      </c>
      <c r="AT11" s="138">
        <v>5000</v>
      </c>
      <c r="AU11" s="138">
        <v>5000</v>
      </c>
      <c r="AV11" s="138">
        <v>0</v>
      </c>
      <c r="AW11" s="272" t="s">
        <v>229</v>
      </c>
      <c r="AX11" s="145"/>
      <c r="AY11" s="145"/>
      <c r="AZ11" s="145"/>
      <c r="BA11" s="192"/>
    </row>
    <row r="12" spans="1:53" ht="15.75" customHeight="1">
      <c r="A12" s="2" t="s">
        <v>16</v>
      </c>
      <c r="B12" s="15"/>
      <c r="C12" s="10"/>
      <c r="D12" s="11"/>
      <c r="E12" s="11"/>
      <c r="F12" s="4"/>
      <c r="G12" s="4"/>
      <c r="I12" s="16">
        <v>730</v>
      </c>
      <c r="J12" s="16"/>
      <c r="K12" s="16">
        <v>675</v>
      </c>
      <c r="L12" s="16">
        <v>155</v>
      </c>
      <c r="M12" s="14"/>
      <c r="N12" s="16">
        <v>100</v>
      </c>
      <c r="O12" s="98"/>
      <c r="P12" s="14"/>
      <c r="Q12" s="99"/>
      <c r="R12" s="103"/>
      <c r="S12" s="103"/>
      <c r="T12" s="132">
        <v>1000</v>
      </c>
      <c r="U12" s="132">
        <v>0</v>
      </c>
      <c r="V12" s="206">
        <v>0</v>
      </c>
      <c r="W12" s="132">
        <v>0</v>
      </c>
      <c r="Y12" s="184">
        <v>1500</v>
      </c>
      <c r="Z12" s="206">
        <v>610</v>
      </c>
      <c r="AA12" s="184">
        <v>610</v>
      </c>
      <c r="AB12" s="183">
        <v>1500</v>
      </c>
      <c r="AD12" s="116">
        <v>1000</v>
      </c>
      <c r="AE12" s="116">
        <v>0</v>
      </c>
      <c r="AF12" s="116">
        <v>0</v>
      </c>
      <c r="AG12" s="116">
        <v>0</v>
      </c>
      <c r="AI12" s="116">
        <v>1000</v>
      </c>
      <c r="AN12" s="138">
        <f>AM12-AL12</f>
        <v>0</v>
      </c>
      <c r="AX12" s="145" t="s">
        <v>189</v>
      </c>
      <c r="AY12" s="138">
        <f>12*250</f>
        <v>3000</v>
      </c>
      <c r="BA12" s="151">
        <f>AY12+AZ12</f>
        <v>3000</v>
      </c>
    </row>
    <row r="13" spans="1:53" ht="16.5" customHeight="1">
      <c r="A13" s="18" t="s">
        <v>17</v>
      </c>
      <c r="B13" s="19">
        <v>9180</v>
      </c>
      <c r="C13" s="10"/>
      <c r="D13" s="15"/>
      <c r="E13" s="15"/>
      <c r="F13" s="15">
        <v>8533</v>
      </c>
      <c r="G13" s="15"/>
      <c r="H13" s="15">
        <v>9000</v>
      </c>
      <c r="I13" s="20">
        <f>SUM(I9:I12)</f>
        <v>10630</v>
      </c>
      <c r="J13" s="20"/>
      <c r="K13" s="20">
        <f>SUM(K9:K12)</f>
        <v>10675</v>
      </c>
      <c r="L13" s="20">
        <f>SUM(L9:L12)</f>
        <v>7655</v>
      </c>
      <c r="M13" s="20">
        <f>SUM(M9:M12)</f>
        <v>1800</v>
      </c>
      <c r="N13" s="20">
        <f>SUM(N9:N12)</f>
        <v>7600</v>
      </c>
      <c r="O13" s="20"/>
      <c r="P13" s="20">
        <v>10000</v>
      </c>
      <c r="Q13" s="20">
        <f aca="true" t="shared" si="0" ref="Q13:W13">SUM(Q9:Q12)</f>
        <v>3600</v>
      </c>
      <c r="R13" s="20">
        <f t="shared" si="0"/>
        <v>5000</v>
      </c>
      <c r="S13" s="20">
        <f t="shared" si="0"/>
        <v>5000</v>
      </c>
      <c r="T13" s="20">
        <f t="shared" si="0"/>
        <v>4600</v>
      </c>
      <c r="U13" s="20">
        <f t="shared" si="0"/>
        <v>9700</v>
      </c>
      <c r="V13" s="20">
        <f>SUM(V9:V12)</f>
        <v>9700</v>
      </c>
      <c r="W13" s="20">
        <f t="shared" si="0"/>
        <v>9700</v>
      </c>
      <c r="Y13" s="20">
        <f>SUM(Y9:Y12)</f>
        <v>21400</v>
      </c>
      <c r="Z13" s="20">
        <f>SUM(Z9:Z12)</f>
        <v>16410</v>
      </c>
      <c r="AA13" s="20">
        <f>SUM(AA9:AA12)</f>
        <v>16410</v>
      </c>
      <c r="AB13" s="20">
        <f>SUM(AB9:AB12)</f>
        <v>21400</v>
      </c>
      <c r="AC13" s="15"/>
      <c r="AD13" s="20">
        <f aca="true" t="shared" si="1" ref="AD13:AJ13">SUM(AD9:AD12)</f>
        <v>35000</v>
      </c>
      <c r="AE13" s="20">
        <f t="shared" si="1"/>
        <v>32780</v>
      </c>
      <c r="AF13" s="20">
        <f t="shared" si="1"/>
        <v>32780</v>
      </c>
      <c r="AG13" s="20">
        <f t="shared" si="1"/>
        <v>32780</v>
      </c>
      <c r="AH13" s="233"/>
      <c r="AI13" s="20">
        <f t="shared" si="1"/>
        <v>35000</v>
      </c>
      <c r="AJ13" s="20">
        <f t="shared" si="1"/>
        <v>38600</v>
      </c>
      <c r="AK13" s="20">
        <f>SUM(AK9:AK12)</f>
        <v>38600</v>
      </c>
      <c r="AL13" s="20">
        <f>SUM(AL9:AL12)</f>
        <v>38600</v>
      </c>
      <c r="AM13" s="20">
        <f>SUM(AM9:AM12)</f>
        <v>61525</v>
      </c>
      <c r="AN13" s="20">
        <f>SUM(AN9:AN12)</f>
        <v>31925</v>
      </c>
      <c r="AO13" s="233"/>
      <c r="AP13" s="20">
        <f aca="true" t="shared" si="2" ref="AP13:AV13">SUM(AP9:AP12)</f>
        <v>32050</v>
      </c>
      <c r="AQ13" s="20">
        <f t="shared" si="2"/>
        <v>37550</v>
      </c>
      <c r="AR13" s="20">
        <f t="shared" si="2"/>
        <v>0</v>
      </c>
      <c r="AS13" s="20">
        <f t="shared" si="2"/>
        <v>34980</v>
      </c>
      <c r="AT13" s="20">
        <f t="shared" si="2"/>
        <v>35000</v>
      </c>
      <c r="AU13" s="20">
        <f t="shared" si="2"/>
        <v>37550</v>
      </c>
      <c r="AV13" s="20">
        <f t="shared" si="2"/>
        <v>0</v>
      </c>
      <c r="AW13" s="233"/>
      <c r="AX13" s="151" t="s">
        <v>190</v>
      </c>
      <c r="AY13" s="151">
        <f>AY8+AZ8+AY12</f>
        <v>6000</v>
      </c>
      <c r="BA13" s="192">
        <f>BA9+BA10</f>
        <v>13900</v>
      </c>
    </row>
    <row r="14" spans="1:48" ht="18" customHeight="1">
      <c r="A14" s="2" t="s">
        <v>18</v>
      </c>
      <c r="B14" s="15"/>
      <c r="C14" s="10"/>
      <c r="D14" s="15"/>
      <c r="E14" s="15"/>
      <c r="F14" s="15"/>
      <c r="G14" s="15"/>
      <c r="H14" s="21"/>
      <c r="I14" s="21"/>
      <c r="J14" s="21"/>
      <c r="K14" s="21"/>
      <c r="L14" s="21"/>
      <c r="M14" s="15"/>
      <c r="N14" s="21"/>
      <c r="O14" s="15"/>
      <c r="P14" s="15"/>
      <c r="Q14" s="15"/>
      <c r="R14" s="104"/>
      <c r="S14" s="104"/>
      <c r="T14" s="15"/>
      <c r="U14" s="15"/>
      <c r="V14" s="104"/>
      <c r="W14" s="15"/>
      <c r="Y14" s="15"/>
      <c r="Z14" s="199"/>
      <c r="AD14" s="138"/>
      <c r="AE14" s="138"/>
      <c r="AF14" s="138"/>
      <c r="AG14" s="138"/>
      <c r="AI14" s="138"/>
      <c r="AJ14" s="138"/>
      <c r="AK14" s="138"/>
      <c r="AL14" s="138"/>
      <c r="AM14" s="138"/>
      <c r="AN14" s="138"/>
      <c r="AP14" s="138"/>
      <c r="AQ14" s="138"/>
      <c r="AR14" s="138"/>
      <c r="AS14" s="138"/>
      <c r="AT14" s="138"/>
      <c r="AU14" s="138"/>
      <c r="AV14" s="138"/>
    </row>
    <row r="15" spans="1:48" ht="14.25" customHeight="1">
      <c r="A15" s="2" t="s">
        <v>19</v>
      </c>
      <c r="B15" s="15"/>
      <c r="C15" s="10"/>
      <c r="D15" s="15"/>
      <c r="E15" s="15"/>
      <c r="F15" s="15"/>
      <c r="G15" s="15"/>
      <c r="H15" s="21"/>
      <c r="I15" s="21"/>
      <c r="J15" s="21"/>
      <c r="K15" s="22">
        <v>100</v>
      </c>
      <c r="L15" s="22"/>
      <c r="M15" s="15"/>
      <c r="N15" s="22">
        <v>100</v>
      </c>
      <c r="O15" s="15"/>
      <c r="P15" s="15"/>
      <c r="Q15" s="15"/>
      <c r="R15" s="104">
        <v>0</v>
      </c>
      <c r="S15" s="104">
        <v>0</v>
      </c>
      <c r="T15" s="19"/>
      <c r="U15" s="19">
        <v>0</v>
      </c>
      <c r="V15" s="207">
        <v>0</v>
      </c>
      <c r="W15" s="19">
        <v>0</v>
      </c>
      <c r="Y15" s="19"/>
      <c r="Z15" s="199"/>
      <c r="AD15" s="138">
        <v>1500</v>
      </c>
      <c r="AE15" s="199">
        <v>2111</v>
      </c>
      <c r="AF15" s="199">
        <v>2111</v>
      </c>
      <c r="AG15" s="199">
        <v>2111</v>
      </c>
      <c r="AI15" s="138">
        <v>1500</v>
      </c>
      <c r="AJ15" s="138">
        <v>2226</v>
      </c>
      <c r="AK15" s="138">
        <v>2226</v>
      </c>
      <c r="AL15" s="138">
        <v>2226</v>
      </c>
      <c r="AM15" s="138">
        <v>5336</v>
      </c>
      <c r="AN15" s="138">
        <f>AM15-AL15</f>
        <v>3110</v>
      </c>
      <c r="AP15" s="145">
        <f>2693+275</f>
        <v>2968</v>
      </c>
      <c r="AQ15" s="138">
        <v>3000</v>
      </c>
      <c r="AR15" s="138"/>
      <c r="AS15" s="138">
        <v>0</v>
      </c>
      <c r="AT15" s="138">
        <v>3000</v>
      </c>
      <c r="AU15" s="138">
        <v>3000</v>
      </c>
      <c r="AV15" s="138">
        <v>0</v>
      </c>
    </row>
    <row r="16" spans="1:53" ht="14.25" customHeight="1">
      <c r="A16" s="2" t="s">
        <v>283</v>
      </c>
      <c r="B16" s="15"/>
      <c r="C16" s="10"/>
      <c r="D16" s="15"/>
      <c r="E16" s="15"/>
      <c r="F16" s="15"/>
      <c r="G16" s="15"/>
      <c r="H16" s="21"/>
      <c r="I16" s="22">
        <v>6210</v>
      </c>
      <c r="J16" s="22"/>
      <c r="K16" s="22">
        <v>5500</v>
      </c>
      <c r="L16" s="22">
        <v>4475</v>
      </c>
      <c r="M16" s="15"/>
      <c r="N16" s="22">
        <v>4475</v>
      </c>
      <c r="O16" s="15"/>
      <c r="P16" s="15"/>
      <c r="Q16" s="15"/>
      <c r="R16" s="104">
        <v>0</v>
      </c>
      <c r="S16" s="104">
        <v>0</v>
      </c>
      <c r="T16" s="19"/>
      <c r="U16" s="148">
        <v>4730</v>
      </c>
      <c r="V16" s="107">
        <v>4730</v>
      </c>
      <c r="W16" s="148">
        <v>4730</v>
      </c>
      <c r="Y16" s="148">
        <f>AB16</f>
        <v>7900</v>
      </c>
      <c r="Z16" s="199">
        <v>5256</v>
      </c>
      <c r="AA16" s="138">
        <v>5256</v>
      </c>
      <c r="AB16" s="138">
        <v>7900</v>
      </c>
      <c r="AD16" s="138">
        <v>6865</v>
      </c>
      <c r="AE16" s="138">
        <v>7378</v>
      </c>
      <c r="AF16" s="138">
        <v>7378</v>
      </c>
      <c r="AG16" s="138">
        <v>7378</v>
      </c>
      <c r="AI16" s="138">
        <v>6865</v>
      </c>
      <c r="AJ16" s="138">
        <v>7182</v>
      </c>
      <c r="AK16" s="138">
        <v>7180</v>
      </c>
      <c r="AL16" s="138">
        <v>7182</v>
      </c>
      <c r="AM16" s="138">
        <v>14616</v>
      </c>
      <c r="AN16" s="138">
        <f>AM16-AL16</f>
        <v>7434</v>
      </c>
      <c r="AP16" s="138">
        <v>7435</v>
      </c>
      <c r="AQ16" s="138">
        <v>7464</v>
      </c>
      <c r="AR16" s="138"/>
      <c r="AS16" s="138">
        <v>10463</v>
      </c>
      <c r="AT16" s="138">
        <v>7464</v>
      </c>
      <c r="AU16" s="138">
        <v>7464</v>
      </c>
      <c r="AV16" s="138">
        <v>0</v>
      </c>
      <c r="AY16" s="138">
        <f>100*43</f>
        <v>4300</v>
      </c>
      <c r="AZ16" s="138">
        <f>(50*64)+400</f>
        <v>3600</v>
      </c>
      <c r="BA16" s="151">
        <f>AY16+AZ16</f>
        <v>7900</v>
      </c>
    </row>
    <row r="17" spans="1:50" ht="15" customHeight="1">
      <c r="A17" s="2" t="s">
        <v>20</v>
      </c>
      <c r="B17" s="15"/>
      <c r="C17" s="10"/>
      <c r="D17" s="15"/>
      <c r="E17" s="15"/>
      <c r="F17" s="15"/>
      <c r="G17" s="15"/>
      <c r="H17" s="21"/>
      <c r="I17" s="22">
        <v>501</v>
      </c>
      <c r="J17" s="22"/>
      <c r="K17" s="22">
        <v>100</v>
      </c>
      <c r="L17" s="22">
        <v>-126</v>
      </c>
      <c r="M17" s="16">
        <v>-126</v>
      </c>
      <c r="N17" s="22">
        <v>300</v>
      </c>
      <c r="O17" s="16"/>
      <c r="P17" s="15"/>
      <c r="Q17" s="15"/>
      <c r="R17" s="104">
        <v>0</v>
      </c>
      <c r="S17" s="104">
        <v>0</v>
      </c>
      <c r="T17" s="22">
        <v>300</v>
      </c>
      <c r="U17" s="22">
        <v>0</v>
      </c>
      <c r="V17" s="108">
        <v>0</v>
      </c>
      <c r="W17" s="22">
        <v>0</v>
      </c>
      <c r="Y17" s="22"/>
      <c r="Z17" s="199"/>
      <c r="AD17" s="138">
        <v>2000</v>
      </c>
      <c r="AE17" s="138">
        <v>0</v>
      </c>
      <c r="AF17" s="138">
        <v>0</v>
      </c>
      <c r="AG17" s="138">
        <v>0</v>
      </c>
      <c r="AI17" s="138">
        <v>2000</v>
      </c>
      <c r="AJ17" s="138">
        <v>0</v>
      </c>
      <c r="AK17" s="138">
        <v>0</v>
      </c>
      <c r="AL17" s="138">
        <v>0</v>
      </c>
      <c r="AM17" s="138">
        <v>190</v>
      </c>
      <c r="AN17" s="138">
        <f>AM17-AL17</f>
        <v>190</v>
      </c>
      <c r="AP17" s="138">
        <v>190</v>
      </c>
      <c r="AQ17" s="138">
        <v>250</v>
      </c>
      <c r="AR17" s="138"/>
      <c r="AS17" s="138">
        <v>480</v>
      </c>
      <c r="AT17" s="138">
        <v>250</v>
      </c>
      <c r="AU17" s="138">
        <v>250</v>
      </c>
      <c r="AV17" s="138">
        <v>0</v>
      </c>
      <c r="AX17" s="214" t="s">
        <v>202</v>
      </c>
    </row>
    <row r="18" spans="1:52" ht="15.75" customHeight="1">
      <c r="A18" s="2" t="s">
        <v>284</v>
      </c>
      <c r="B18" s="15"/>
      <c r="C18" s="10"/>
      <c r="D18" s="15"/>
      <c r="E18" s="15"/>
      <c r="F18" s="15"/>
      <c r="G18" s="15"/>
      <c r="H18" s="21"/>
      <c r="I18" s="21"/>
      <c r="J18" s="21"/>
      <c r="K18" s="21"/>
      <c r="L18" s="21"/>
      <c r="M18" s="15"/>
      <c r="N18" s="21"/>
      <c r="O18" s="15"/>
      <c r="P18" s="15"/>
      <c r="Q18" s="15"/>
      <c r="R18" s="104"/>
      <c r="S18" s="104"/>
      <c r="T18" s="19"/>
      <c r="U18" s="19">
        <v>0</v>
      </c>
      <c r="V18" s="207">
        <v>0</v>
      </c>
      <c r="W18" s="19">
        <v>0</v>
      </c>
      <c r="Y18" s="19"/>
      <c r="Z18" s="199"/>
      <c r="AD18" s="138">
        <v>2100</v>
      </c>
      <c r="AE18" s="138">
        <v>2877</v>
      </c>
      <c r="AF18" s="138">
        <v>2877</v>
      </c>
      <c r="AG18" s="138">
        <v>2877</v>
      </c>
      <c r="AI18" s="138">
        <v>2100</v>
      </c>
      <c r="AJ18" s="138">
        <v>4199</v>
      </c>
      <c r="AK18" s="138">
        <v>4199</v>
      </c>
      <c r="AL18" s="138">
        <v>4199</v>
      </c>
      <c r="AM18" s="138">
        <v>4199</v>
      </c>
      <c r="AN18" s="138">
        <f>AM18-AL18</f>
        <v>0</v>
      </c>
      <c r="AP18" s="138">
        <v>0</v>
      </c>
      <c r="AQ18" s="138">
        <v>3807</v>
      </c>
      <c r="AR18" s="138"/>
      <c r="AS18" s="138">
        <v>0</v>
      </c>
      <c r="AT18" s="138">
        <v>3807</v>
      </c>
      <c r="AU18" s="138">
        <v>3807</v>
      </c>
      <c r="AV18" s="138">
        <v>0</v>
      </c>
      <c r="AX18" s="151" t="s">
        <v>195</v>
      </c>
      <c r="AY18" s="151" t="s">
        <v>203</v>
      </c>
      <c r="AZ18" s="94" t="s">
        <v>204</v>
      </c>
    </row>
    <row r="19" spans="1:52" ht="15">
      <c r="A19" s="18" t="s">
        <v>21</v>
      </c>
      <c r="B19" s="19">
        <v>5546.69</v>
      </c>
      <c r="C19" s="10"/>
      <c r="D19" s="15"/>
      <c r="E19" s="15"/>
      <c r="F19" s="15">
        <v>4805.41</v>
      </c>
      <c r="G19" s="15"/>
      <c r="H19" s="15">
        <v>5250</v>
      </c>
      <c r="I19" s="20">
        <f>SUM(I15:I18)</f>
        <v>6711</v>
      </c>
      <c r="J19" s="20"/>
      <c r="K19" s="20">
        <f>SUM(K15:K18)</f>
        <v>5700</v>
      </c>
      <c r="L19" s="20">
        <f>SUM(L15:L18)</f>
        <v>4349</v>
      </c>
      <c r="M19" s="20">
        <f>SUM(M15:M18)</f>
        <v>-126</v>
      </c>
      <c r="N19" s="20">
        <f>SUM(N15:N18)</f>
        <v>4875</v>
      </c>
      <c r="O19" s="20"/>
      <c r="P19" s="23">
        <v>5000</v>
      </c>
      <c r="Q19" s="23">
        <v>0</v>
      </c>
      <c r="R19" s="23">
        <v>0</v>
      </c>
      <c r="S19" s="23">
        <v>0</v>
      </c>
      <c r="T19" s="20">
        <f>SUM(T15:T18)</f>
        <v>300</v>
      </c>
      <c r="U19" s="20">
        <f>SUM(U15:U18)</f>
        <v>4730</v>
      </c>
      <c r="V19" s="20">
        <f>SUM(V15:V18)</f>
        <v>4730</v>
      </c>
      <c r="W19" s="20">
        <f>SUM(W15:W18)</f>
        <v>4730</v>
      </c>
      <c r="Y19" s="20">
        <f>SUM(Y15:Y18)</f>
        <v>7900</v>
      </c>
      <c r="Z19" s="20">
        <f>SUM(Z15:Z18)</f>
        <v>5256</v>
      </c>
      <c r="AA19" s="20">
        <f>SUM(AA15:AA18)</f>
        <v>5256</v>
      </c>
      <c r="AB19" s="20">
        <f>SUM(AB15:AB18)</f>
        <v>7900</v>
      </c>
      <c r="AC19" s="15"/>
      <c r="AD19" s="20">
        <f aca="true" t="shared" si="3" ref="AD19:AJ19">SUM(AD15:AD18)</f>
        <v>12465</v>
      </c>
      <c r="AE19" s="20">
        <f t="shared" si="3"/>
        <v>12366</v>
      </c>
      <c r="AF19" s="20">
        <f t="shared" si="3"/>
        <v>12366</v>
      </c>
      <c r="AG19" s="20">
        <f t="shared" si="3"/>
        <v>12366</v>
      </c>
      <c r="AH19" s="233"/>
      <c r="AI19" s="20">
        <f t="shared" si="3"/>
        <v>12465</v>
      </c>
      <c r="AJ19" s="20">
        <f t="shared" si="3"/>
        <v>13607</v>
      </c>
      <c r="AK19" s="20">
        <f>SUM(AK15:AK18)</f>
        <v>13605</v>
      </c>
      <c r="AL19" s="20">
        <f>SUM(AL15:AL18)</f>
        <v>13607</v>
      </c>
      <c r="AM19" s="20">
        <f>SUM(AM15:AM18)</f>
        <v>24341</v>
      </c>
      <c r="AN19" s="20">
        <f>SUM(AN15:AN18)</f>
        <v>10734</v>
      </c>
      <c r="AO19" s="233"/>
      <c r="AP19" s="20">
        <f aca="true" t="shared" si="4" ref="AP19:AU19">SUM(AP15:AP18)</f>
        <v>10593</v>
      </c>
      <c r="AQ19" s="20">
        <f t="shared" si="4"/>
        <v>14521</v>
      </c>
      <c r="AR19" s="20">
        <f t="shared" si="4"/>
        <v>0</v>
      </c>
      <c r="AS19" s="20">
        <f t="shared" si="4"/>
        <v>10943</v>
      </c>
      <c r="AT19" s="20">
        <f t="shared" si="4"/>
        <v>14521</v>
      </c>
      <c r="AU19" s="20">
        <f t="shared" si="4"/>
        <v>14521</v>
      </c>
      <c r="AV19" s="20">
        <f>SUM(AV15:AV18)</f>
        <v>0</v>
      </c>
      <c r="AW19" s="233"/>
      <c r="AX19" s="185" t="s">
        <v>183</v>
      </c>
      <c r="AY19" s="151" t="s">
        <v>186</v>
      </c>
      <c r="AZ19" s="151" t="s">
        <v>187</v>
      </c>
    </row>
    <row r="20" spans="1:52" ht="15">
      <c r="A20" s="120" t="s">
        <v>22</v>
      </c>
      <c r="B20" s="121">
        <f>B13-B19</f>
        <v>3633.3100000000004</v>
      </c>
      <c r="C20" s="122"/>
      <c r="D20" s="121"/>
      <c r="E20" s="121"/>
      <c r="F20" s="121">
        <f>F13-F19</f>
        <v>3727.59</v>
      </c>
      <c r="G20" s="121"/>
      <c r="H20" s="121">
        <f>H13-H19</f>
        <v>3750</v>
      </c>
      <c r="I20" s="121">
        <f>I13-I19</f>
        <v>3919</v>
      </c>
      <c r="J20" s="121"/>
      <c r="K20" s="121">
        <f>K13-K19</f>
        <v>4975</v>
      </c>
      <c r="L20" s="121">
        <f>L13-L19</f>
        <v>3306</v>
      </c>
      <c r="M20" s="121">
        <f>M13-M19</f>
        <v>1926</v>
      </c>
      <c r="N20" s="121">
        <f>N13-N19</f>
        <v>2725</v>
      </c>
      <c r="O20" s="121"/>
      <c r="P20" s="121">
        <f aca="true" t="shared" si="5" ref="P20:W20">P13-P19</f>
        <v>5000</v>
      </c>
      <c r="Q20" s="121">
        <f t="shared" si="5"/>
        <v>3600</v>
      </c>
      <c r="R20" s="121">
        <f t="shared" si="5"/>
        <v>5000</v>
      </c>
      <c r="S20" s="121">
        <f t="shared" si="5"/>
        <v>5000</v>
      </c>
      <c r="T20" s="121">
        <f t="shared" si="5"/>
        <v>4300</v>
      </c>
      <c r="U20" s="121">
        <f t="shared" si="5"/>
        <v>4970</v>
      </c>
      <c r="V20" s="121">
        <f>V13-V19</f>
        <v>4970</v>
      </c>
      <c r="W20" s="121">
        <f t="shared" si="5"/>
        <v>4970</v>
      </c>
      <c r="Y20" s="121">
        <f>Y13-Y19</f>
        <v>13500</v>
      </c>
      <c r="Z20" s="121">
        <f>Z13-Z19</f>
        <v>11154</v>
      </c>
      <c r="AA20" s="121">
        <f>AA13-AA19</f>
        <v>11154</v>
      </c>
      <c r="AB20" s="121">
        <f>Y20</f>
        <v>13500</v>
      </c>
      <c r="AC20" s="15"/>
      <c r="AD20" s="121">
        <f aca="true" t="shared" si="6" ref="AD20:AJ20">AD13-AD19</f>
        <v>22535</v>
      </c>
      <c r="AE20" s="121">
        <f t="shared" si="6"/>
        <v>20414</v>
      </c>
      <c r="AF20" s="121">
        <f t="shared" si="6"/>
        <v>20414</v>
      </c>
      <c r="AG20" s="121">
        <f t="shared" si="6"/>
        <v>20414</v>
      </c>
      <c r="AH20" s="234"/>
      <c r="AI20" s="121">
        <f t="shared" si="6"/>
        <v>22535</v>
      </c>
      <c r="AJ20" s="121">
        <f t="shared" si="6"/>
        <v>24993</v>
      </c>
      <c r="AK20" s="121">
        <f>AK13-AK19</f>
        <v>24995</v>
      </c>
      <c r="AL20" s="121">
        <f>AL13-AL19</f>
        <v>24993</v>
      </c>
      <c r="AM20" s="121">
        <f>AM13-AM19</f>
        <v>37184</v>
      </c>
      <c r="AN20" s="121">
        <f>AN13-AN19</f>
        <v>21191</v>
      </c>
      <c r="AO20" s="234"/>
      <c r="AP20" s="121">
        <f aca="true" t="shared" si="7" ref="AP20:AU20">AP13-AP19</f>
        <v>21457</v>
      </c>
      <c r="AQ20" s="121">
        <f t="shared" si="7"/>
        <v>23029</v>
      </c>
      <c r="AR20" s="121">
        <f t="shared" si="7"/>
        <v>0</v>
      </c>
      <c r="AS20" s="121">
        <f t="shared" si="7"/>
        <v>24037</v>
      </c>
      <c r="AT20" s="121">
        <f t="shared" si="7"/>
        <v>20479</v>
      </c>
      <c r="AU20" s="121">
        <f t="shared" si="7"/>
        <v>23029</v>
      </c>
      <c r="AV20" s="121">
        <f>AV13-AV19</f>
        <v>0</v>
      </c>
      <c r="AW20" s="234"/>
      <c r="AZ20" s="138"/>
    </row>
    <row r="21" spans="1:53" ht="15">
      <c r="A21" s="24"/>
      <c r="B21" s="15"/>
      <c r="C21" s="10"/>
      <c r="D21" s="11"/>
      <c r="E21" s="11"/>
      <c r="F21" s="10"/>
      <c r="G21" s="4"/>
      <c r="H21" s="10"/>
      <c r="I21" s="14"/>
      <c r="J21" s="14"/>
      <c r="K21" s="15"/>
      <c r="L21" s="15"/>
      <c r="M21" s="15"/>
      <c r="N21" s="15"/>
      <c r="O21" s="15"/>
      <c r="P21" s="15"/>
      <c r="Q21" s="15"/>
      <c r="R21" s="104"/>
      <c r="S21" s="104"/>
      <c r="T21" s="15"/>
      <c r="U21" s="15"/>
      <c r="V21" s="104"/>
      <c r="W21" s="15"/>
      <c r="Y21" s="15"/>
      <c r="Z21" s="199"/>
      <c r="AF21" s="256">
        <f>AF20-AD20</f>
        <v>-2121</v>
      </c>
      <c r="AG21" s="256">
        <f>AG20-AD20</f>
        <v>-2121</v>
      </c>
      <c r="AX21" s="145" t="s">
        <v>189</v>
      </c>
      <c r="AY21" s="138">
        <f>20*100</f>
        <v>2000</v>
      </c>
      <c r="AZ21" s="145">
        <f>10*100</f>
        <v>1000</v>
      </c>
      <c r="BA21" s="151">
        <f>AY21+AZ21</f>
        <v>3000</v>
      </c>
    </row>
    <row r="22" spans="1:53" ht="15">
      <c r="A22" s="25" t="s">
        <v>23</v>
      </c>
      <c r="B22" s="26" t="s">
        <v>24</v>
      </c>
      <c r="C22" s="27"/>
      <c r="D22" s="28"/>
      <c r="E22" s="28"/>
      <c r="F22" s="29" t="s">
        <v>25</v>
      </c>
      <c r="G22" s="30"/>
      <c r="H22" s="31" t="s">
        <v>26</v>
      </c>
      <c r="I22" s="32" t="s">
        <v>26</v>
      </c>
      <c r="J22" s="31"/>
      <c r="K22" s="32" t="s">
        <v>27</v>
      </c>
      <c r="L22" s="32" t="s">
        <v>27</v>
      </c>
      <c r="M22" s="32"/>
      <c r="N22" s="32" t="s">
        <v>27</v>
      </c>
      <c r="O22" s="32"/>
      <c r="P22" s="32" t="s">
        <v>28</v>
      </c>
      <c r="Q22" s="32" t="s">
        <v>28</v>
      </c>
      <c r="R22" s="32" t="s">
        <v>28</v>
      </c>
      <c r="S22" s="32" t="s">
        <v>28</v>
      </c>
      <c r="T22" s="135" t="s">
        <v>29</v>
      </c>
      <c r="U22" s="135"/>
      <c r="V22" s="135"/>
      <c r="W22" s="135"/>
      <c r="Y22" s="135" t="s">
        <v>193</v>
      </c>
      <c r="Z22" s="199"/>
      <c r="AB22" s="135" t="s">
        <v>193</v>
      </c>
      <c r="AC22" s="34"/>
      <c r="AD22" s="135" t="s">
        <v>235</v>
      </c>
      <c r="AE22" s="135" t="s">
        <v>235</v>
      </c>
      <c r="AF22" s="257" t="s">
        <v>244</v>
      </c>
      <c r="AG22" s="257" t="s">
        <v>244</v>
      </c>
      <c r="AH22" s="235"/>
      <c r="AI22" s="135" t="s">
        <v>265</v>
      </c>
      <c r="AJ22" s="135"/>
      <c r="AK22" s="135"/>
      <c r="AL22" s="135"/>
      <c r="AM22" s="135"/>
      <c r="AN22" s="135"/>
      <c r="AO22" s="235"/>
      <c r="AP22" s="135"/>
      <c r="AQ22" s="135"/>
      <c r="AR22" s="135"/>
      <c r="AS22" s="135"/>
      <c r="AT22" s="135"/>
      <c r="AU22" s="135"/>
      <c r="AV22" s="135"/>
      <c r="AW22" s="235"/>
      <c r="AX22" s="145" t="s">
        <v>188</v>
      </c>
      <c r="AY22" s="138">
        <f>40*100</f>
        <v>4000</v>
      </c>
      <c r="AZ22" s="138">
        <f>30*100</f>
        <v>3000</v>
      </c>
      <c r="BA22" s="192">
        <f>AY22+AZ22</f>
        <v>7000</v>
      </c>
    </row>
    <row r="23" spans="1:53" ht="14.25" customHeight="1">
      <c r="A23" s="2" t="s">
        <v>30</v>
      </c>
      <c r="B23" s="15"/>
      <c r="C23" s="15"/>
      <c r="D23" s="15"/>
      <c r="E23" s="15"/>
      <c r="F23" s="15"/>
      <c r="G23" s="15"/>
      <c r="H23" s="21"/>
      <c r="I23" s="14"/>
      <c r="J23" s="14"/>
      <c r="K23" s="15"/>
      <c r="L23" s="15"/>
      <c r="M23" s="15"/>
      <c r="N23" s="15"/>
      <c r="O23" s="15"/>
      <c r="P23" s="15"/>
      <c r="Q23" s="15"/>
      <c r="R23" s="104"/>
      <c r="S23" s="104"/>
      <c r="T23" s="136" t="s">
        <v>157</v>
      </c>
      <c r="U23" s="136"/>
      <c r="V23" s="136"/>
      <c r="W23" s="136"/>
      <c r="Y23" s="136" t="s">
        <v>194</v>
      </c>
      <c r="Z23" s="199"/>
      <c r="AB23" s="136" t="s">
        <v>194</v>
      </c>
      <c r="AC23" s="16"/>
      <c r="AD23" s="136" t="s">
        <v>236</v>
      </c>
      <c r="AE23" s="136" t="s">
        <v>236</v>
      </c>
      <c r="AF23" s="136" t="s">
        <v>236</v>
      </c>
      <c r="AG23" s="136" t="s">
        <v>236</v>
      </c>
      <c r="AH23" s="236"/>
      <c r="AI23" s="136" t="s">
        <v>236</v>
      </c>
      <c r="AJ23" s="136"/>
      <c r="AK23" s="136"/>
      <c r="AL23" s="136"/>
      <c r="AM23" s="136"/>
      <c r="AN23" s="136"/>
      <c r="AO23" s="236"/>
      <c r="AP23" s="136"/>
      <c r="AQ23" s="136"/>
      <c r="AR23" s="136"/>
      <c r="AS23" s="136"/>
      <c r="AT23" s="136"/>
      <c r="AU23" s="136"/>
      <c r="AV23" s="136"/>
      <c r="AW23" s="236"/>
      <c r="AX23" s="145" t="s">
        <v>188</v>
      </c>
      <c r="AY23" s="145">
        <f>(5*250)+(4*200)</f>
        <v>2050</v>
      </c>
      <c r="AZ23" s="145">
        <f>(2*250)+(4*200)</f>
        <v>1300</v>
      </c>
      <c r="BA23" s="192">
        <f>AY23+AZ23</f>
        <v>3350</v>
      </c>
    </row>
    <row r="24" spans="1:53" ht="14.25" customHeight="1">
      <c r="A24" s="5" t="s">
        <v>31</v>
      </c>
      <c r="B24" s="15"/>
      <c r="C24" s="15"/>
      <c r="D24" s="15"/>
      <c r="E24" s="15"/>
      <c r="F24" s="15"/>
      <c r="G24" s="15"/>
      <c r="H24" s="21"/>
      <c r="I24" s="16">
        <v>10590</v>
      </c>
      <c r="J24" s="16"/>
      <c r="K24" s="15"/>
      <c r="L24" s="16">
        <v>13825</v>
      </c>
      <c r="M24" s="16">
        <v>13825</v>
      </c>
      <c r="N24" s="16">
        <v>13825</v>
      </c>
      <c r="O24" s="16"/>
      <c r="P24" s="15"/>
      <c r="Q24" s="16">
        <v>13500</v>
      </c>
      <c r="R24" s="105">
        <v>2875</v>
      </c>
      <c r="S24" s="105">
        <v>2875</v>
      </c>
      <c r="T24" s="16">
        <v>5000</v>
      </c>
      <c r="U24" s="16">
        <v>1530</v>
      </c>
      <c r="V24" s="105">
        <v>1530</v>
      </c>
      <c r="W24" s="16">
        <v>1530</v>
      </c>
      <c r="Y24" s="16">
        <v>2000</v>
      </c>
      <c r="Z24" s="199"/>
      <c r="AB24" s="16">
        <v>2000</v>
      </c>
      <c r="AC24" s="16"/>
      <c r="AD24" s="16"/>
      <c r="AE24" s="16">
        <v>5047</v>
      </c>
      <c r="AF24" s="16">
        <v>5047</v>
      </c>
      <c r="AG24" s="16">
        <v>5047</v>
      </c>
      <c r="AH24" s="236"/>
      <c r="AI24" s="16"/>
      <c r="AJ24" s="16"/>
      <c r="AK24" s="16"/>
      <c r="AL24" s="16"/>
      <c r="AM24" s="16"/>
      <c r="AN24" s="16"/>
      <c r="AO24" s="236"/>
      <c r="AP24" s="16"/>
      <c r="AQ24" s="16"/>
      <c r="AR24" s="16"/>
      <c r="AS24" s="16"/>
      <c r="AT24" s="16"/>
      <c r="AU24" s="16"/>
      <c r="AV24" s="16"/>
      <c r="AW24" s="236"/>
      <c r="AX24" s="145" t="s">
        <v>189</v>
      </c>
      <c r="AY24" s="138">
        <f>12*250</f>
        <v>3000</v>
      </c>
      <c r="BA24" s="151">
        <f>AY24+AZ24</f>
        <v>3000</v>
      </c>
    </row>
    <row r="25" spans="1:53" ht="16.5" customHeight="1">
      <c r="A25" s="2" t="s">
        <v>32</v>
      </c>
      <c r="B25" s="15"/>
      <c r="C25" s="15"/>
      <c r="D25" s="15"/>
      <c r="E25" s="15"/>
      <c r="F25" s="15"/>
      <c r="G25" s="15"/>
      <c r="H25" s="21"/>
      <c r="I25" s="16">
        <v>1560</v>
      </c>
      <c r="J25" s="16"/>
      <c r="K25" s="15"/>
      <c r="L25" s="16">
        <v>1770</v>
      </c>
      <c r="M25" s="16">
        <v>1770</v>
      </c>
      <c r="N25" s="16">
        <v>1770</v>
      </c>
      <c r="O25" s="16"/>
      <c r="P25" s="15"/>
      <c r="Q25" s="16">
        <v>1500</v>
      </c>
      <c r="R25" s="105">
        <v>1470</v>
      </c>
      <c r="S25" s="105">
        <v>1470</v>
      </c>
      <c r="T25" s="16">
        <v>500</v>
      </c>
      <c r="U25" s="16">
        <v>0</v>
      </c>
      <c r="V25" s="105">
        <v>0</v>
      </c>
      <c r="W25" s="16">
        <v>0</v>
      </c>
      <c r="Y25" s="16">
        <v>0</v>
      </c>
      <c r="Z25" s="199"/>
      <c r="AB25" s="16">
        <v>0</v>
      </c>
      <c r="AC25" s="16"/>
      <c r="AD25" s="16"/>
      <c r="AE25" s="16">
        <v>1825</v>
      </c>
      <c r="AF25" s="16">
        <v>1825</v>
      </c>
      <c r="AG25" s="16">
        <v>1825</v>
      </c>
      <c r="AH25" s="236"/>
      <c r="AI25" s="16"/>
      <c r="AJ25" s="16"/>
      <c r="AK25" s="16"/>
      <c r="AL25" s="16"/>
      <c r="AM25" s="16"/>
      <c r="AN25" s="16"/>
      <c r="AO25" s="236"/>
      <c r="AP25" s="16"/>
      <c r="AQ25" s="16"/>
      <c r="AR25" s="16"/>
      <c r="AS25" s="16"/>
      <c r="AT25" s="16"/>
      <c r="AU25" s="16"/>
      <c r="AV25" s="16"/>
      <c r="AW25" s="236"/>
      <c r="AX25" s="151" t="s">
        <v>190</v>
      </c>
      <c r="AY25" s="151">
        <f>AY21+AZ21+AY24</f>
        <v>6000</v>
      </c>
      <c r="BA25" s="192">
        <f>BA22+BA23</f>
        <v>10350</v>
      </c>
    </row>
    <row r="26" spans="1:49" ht="15.75" customHeight="1">
      <c r="A26" s="2" t="s">
        <v>33</v>
      </c>
      <c r="B26" s="15"/>
      <c r="C26" s="15"/>
      <c r="D26" s="15"/>
      <c r="E26" s="15"/>
      <c r="F26" s="15"/>
      <c r="G26" s="15"/>
      <c r="H26" s="21"/>
      <c r="I26" s="16">
        <v>46</v>
      </c>
      <c r="J26" s="16"/>
      <c r="K26" s="15"/>
      <c r="L26" s="16">
        <v>250</v>
      </c>
      <c r="M26" s="16">
        <v>250</v>
      </c>
      <c r="N26" s="16">
        <v>250</v>
      </c>
      <c r="O26" s="16"/>
      <c r="P26" s="15"/>
      <c r="Q26" s="16">
        <v>250</v>
      </c>
      <c r="R26" s="172">
        <v>3934</v>
      </c>
      <c r="S26" s="105">
        <v>3934</v>
      </c>
      <c r="T26" s="172">
        <v>3000</v>
      </c>
      <c r="U26" s="172">
        <v>3000</v>
      </c>
      <c r="V26" s="172">
        <v>3000</v>
      </c>
      <c r="W26" s="172">
        <v>3000</v>
      </c>
      <c r="X26" s="178" t="s">
        <v>206</v>
      </c>
      <c r="Y26" s="172">
        <v>3000</v>
      </c>
      <c r="Z26" s="172">
        <v>3000</v>
      </c>
      <c r="AA26" s="172">
        <v>3000</v>
      </c>
      <c r="AB26" s="172">
        <v>3000</v>
      </c>
      <c r="AC26" s="16"/>
      <c r="AD26" s="172" t="s">
        <v>237</v>
      </c>
      <c r="AE26" s="172">
        <v>2100</v>
      </c>
      <c r="AF26" s="172">
        <v>2170</v>
      </c>
      <c r="AG26" s="172">
        <v>2170</v>
      </c>
      <c r="AH26" s="236"/>
      <c r="AI26" s="172" t="s">
        <v>237</v>
      </c>
      <c r="AJ26" s="172"/>
      <c r="AK26" s="172"/>
      <c r="AL26" s="172"/>
      <c r="AM26" s="172"/>
      <c r="AN26" s="172"/>
      <c r="AO26" s="236"/>
      <c r="AP26" s="172"/>
      <c r="AQ26" s="172"/>
      <c r="AR26" s="172"/>
      <c r="AS26" s="172"/>
      <c r="AT26" s="172"/>
      <c r="AU26" s="172"/>
      <c r="AV26" s="172"/>
      <c r="AW26" s="236"/>
    </row>
    <row r="27" spans="2:49" ht="15" customHeight="1">
      <c r="B27" s="33"/>
      <c r="C27" s="10"/>
      <c r="D27" s="11"/>
      <c r="E27" s="11"/>
      <c r="F27" s="34"/>
      <c r="G27" s="4"/>
      <c r="I27" s="22"/>
      <c r="J27" s="22"/>
      <c r="K27" s="15"/>
      <c r="L27" s="15"/>
      <c r="M27" s="15"/>
      <c r="N27" s="15"/>
      <c r="O27" s="15"/>
      <c r="P27" s="15"/>
      <c r="Q27" s="15"/>
      <c r="R27" s="104"/>
      <c r="S27" s="104"/>
      <c r="T27" s="15"/>
      <c r="U27" s="15"/>
      <c r="V27" s="104"/>
      <c r="W27" s="15"/>
      <c r="Y27" s="15"/>
      <c r="Z27" s="192">
        <f>Z20+Z26</f>
        <v>14154</v>
      </c>
      <c r="AA27" s="192">
        <f>AA20+AA26</f>
        <v>14154</v>
      </c>
      <c r="AB27" s="15"/>
      <c r="AC27" s="15"/>
      <c r="AD27" s="15"/>
      <c r="AE27" s="15"/>
      <c r="AF27" s="15"/>
      <c r="AG27" s="15"/>
      <c r="AH27" s="237"/>
      <c r="AI27" s="15"/>
      <c r="AJ27" s="15"/>
      <c r="AK27" s="15"/>
      <c r="AL27" s="15"/>
      <c r="AM27" s="15"/>
      <c r="AN27" s="15"/>
      <c r="AO27" s="237"/>
      <c r="AP27" s="15"/>
      <c r="AQ27" s="15"/>
      <c r="AR27" s="15"/>
      <c r="AS27" s="15"/>
      <c r="AT27" s="15"/>
      <c r="AU27" s="15"/>
      <c r="AV27" s="15"/>
      <c r="AW27" s="237"/>
    </row>
    <row r="28" spans="1:53" ht="16.5" customHeight="1">
      <c r="A28" s="18" t="s">
        <v>34</v>
      </c>
      <c r="B28" s="35">
        <v>1770</v>
      </c>
      <c r="C28" s="15"/>
      <c r="D28" s="15"/>
      <c r="E28" s="15"/>
      <c r="F28" s="15">
        <v>10689</v>
      </c>
      <c r="G28" s="15"/>
      <c r="H28" s="15">
        <v>12000</v>
      </c>
      <c r="I28" s="15">
        <f>SUM(I24:I27)</f>
        <v>12196</v>
      </c>
      <c r="J28" s="15"/>
      <c r="K28" s="15">
        <v>13650</v>
      </c>
      <c r="L28" s="15">
        <f>SUM(L24:L27)</f>
        <v>15845</v>
      </c>
      <c r="M28" s="15">
        <f>SUM(M24:M27)</f>
        <v>15845</v>
      </c>
      <c r="N28" s="15">
        <f>SUM(N24:N27)</f>
        <v>15845</v>
      </c>
      <c r="O28" s="15"/>
      <c r="P28" s="15">
        <v>13650</v>
      </c>
      <c r="Q28" s="15">
        <f aca="true" t="shared" si="8" ref="Q28:W28">SUM(Q24:Q27)</f>
        <v>15250</v>
      </c>
      <c r="R28" s="15">
        <f t="shared" si="8"/>
        <v>8279</v>
      </c>
      <c r="S28" s="15">
        <f t="shared" si="8"/>
        <v>8279</v>
      </c>
      <c r="T28" s="15">
        <f t="shared" si="8"/>
        <v>8500</v>
      </c>
      <c r="U28" s="15">
        <f t="shared" si="8"/>
        <v>4530</v>
      </c>
      <c r="V28" s="15">
        <f>SUM(V24:V27)</f>
        <v>4530</v>
      </c>
      <c r="W28" s="15">
        <f t="shared" si="8"/>
        <v>4530</v>
      </c>
      <c r="Y28" s="15">
        <f>SUM(Y24:Y27)</f>
        <v>5000</v>
      </c>
      <c r="Z28" s="15">
        <v>3000</v>
      </c>
      <c r="AA28" s="15">
        <v>3000</v>
      </c>
      <c r="AB28" s="15">
        <f>SUM(AB24:AB27)</f>
        <v>5000</v>
      </c>
      <c r="AC28" s="15"/>
      <c r="AD28" s="15">
        <v>0</v>
      </c>
      <c r="AE28" s="15">
        <f>SUM(AE24:AE27)</f>
        <v>8972</v>
      </c>
      <c r="AF28" s="15">
        <f>SUM(AF24:AF27)</f>
        <v>9042</v>
      </c>
      <c r="AG28" s="15">
        <f>SUM(AG24:AG27)</f>
        <v>9042</v>
      </c>
      <c r="AH28" s="237"/>
      <c r="AI28" s="15">
        <v>0</v>
      </c>
      <c r="AJ28" s="15"/>
      <c r="AK28" s="15"/>
      <c r="AL28" s="15"/>
      <c r="AM28" s="15"/>
      <c r="AN28" s="15"/>
      <c r="AO28" s="237"/>
      <c r="AP28" s="15"/>
      <c r="AQ28" s="15"/>
      <c r="AR28" s="15"/>
      <c r="AS28" s="15"/>
      <c r="AT28" s="15"/>
      <c r="AU28" s="15"/>
      <c r="AV28" s="15"/>
      <c r="AW28" s="237"/>
      <c r="AY28" s="138">
        <v>2756</v>
      </c>
      <c r="AZ28" s="138">
        <v>2500</v>
      </c>
      <c r="BA28" s="151">
        <f>AY28+AZ28</f>
        <v>5256</v>
      </c>
    </row>
    <row r="29" spans="1:49" ht="14.25" customHeight="1">
      <c r="A29" s="2" t="s">
        <v>35</v>
      </c>
      <c r="B29" s="15"/>
      <c r="C29" s="15"/>
      <c r="D29" s="15"/>
      <c r="E29" s="15"/>
      <c r="F29" s="15"/>
      <c r="G29" s="15"/>
      <c r="H29" s="21"/>
      <c r="I29" s="14"/>
      <c r="J29" s="14"/>
      <c r="K29" s="15"/>
      <c r="L29" s="15"/>
      <c r="M29" s="15"/>
      <c r="N29" s="15"/>
      <c r="O29" s="15"/>
      <c r="P29" s="15"/>
      <c r="Q29" s="15"/>
      <c r="R29" s="104"/>
      <c r="S29" s="104"/>
      <c r="T29" s="15"/>
      <c r="U29" s="15"/>
      <c r="V29" s="104"/>
      <c r="W29" s="15"/>
      <c r="Y29" s="15"/>
      <c r="Z29" s="104"/>
      <c r="AA29" s="15"/>
      <c r="AB29" s="15"/>
      <c r="AC29" s="15"/>
      <c r="AD29" s="15"/>
      <c r="AE29" s="15"/>
      <c r="AF29" s="15"/>
      <c r="AG29" s="15"/>
      <c r="AH29" s="237"/>
      <c r="AI29" s="15"/>
      <c r="AJ29" s="15"/>
      <c r="AK29" s="15"/>
      <c r="AL29" s="15"/>
      <c r="AM29" s="15"/>
      <c r="AN29" s="15"/>
      <c r="AO29" s="237"/>
      <c r="AP29" s="15"/>
      <c r="AQ29" s="15"/>
      <c r="AR29" s="15"/>
      <c r="AS29" s="15"/>
      <c r="AT29" s="15"/>
      <c r="AU29" s="15"/>
      <c r="AV29" s="15"/>
      <c r="AW29" s="237"/>
    </row>
    <row r="30" spans="1:49" ht="15" hidden="1">
      <c r="A30" s="2" t="s">
        <v>36</v>
      </c>
      <c r="B30" s="15"/>
      <c r="C30" s="15"/>
      <c r="D30" s="15"/>
      <c r="E30" s="15"/>
      <c r="F30" s="16">
        <v>2997.89</v>
      </c>
      <c r="G30" s="16"/>
      <c r="H30" s="22">
        <v>4000</v>
      </c>
      <c r="I30" s="36">
        <v>2698</v>
      </c>
      <c r="J30" s="36"/>
      <c r="K30" s="16">
        <v>4000</v>
      </c>
      <c r="L30" s="16">
        <v>1915</v>
      </c>
      <c r="M30" s="16">
        <v>1915</v>
      </c>
      <c r="N30" s="16">
        <v>1915</v>
      </c>
      <c r="O30" s="16"/>
      <c r="P30" s="16">
        <v>4000</v>
      </c>
      <c r="Q30" s="16">
        <v>4000</v>
      </c>
      <c r="R30" s="105">
        <v>2015</v>
      </c>
      <c r="S30" s="105">
        <v>2014</v>
      </c>
      <c r="T30" s="16">
        <v>2000</v>
      </c>
      <c r="U30" s="16">
        <v>0</v>
      </c>
      <c r="V30" s="105">
        <v>0</v>
      </c>
      <c r="W30" s="16">
        <v>0</v>
      </c>
      <c r="Y30" s="16">
        <v>750</v>
      </c>
      <c r="Z30" s="105">
        <v>0</v>
      </c>
      <c r="AA30" s="16">
        <v>0</v>
      </c>
      <c r="AB30" s="16">
        <v>750</v>
      </c>
      <c r="AC30" s="16"/>
      <c r="AD30" s="16"/>
      <c r="AE30" s="16"/>
      <c r="AF30" s="16"/>
      <c r="AG30" s="16"/>
      <c r="AH30" s="236"/>
      <c r="AI30" s="16"/>
      <c r="AJ30" s="16"/>
      <c r="AK30" s="16"/>
      <c r="AL30" s="16"/>
      <c r="AM30" s="16"/>
      <c r="AN30" s="16"/>
      <c r="AO30" s="236"/>
      <c r="AP30" s="16"/>
      <c r="AQ30" s="16"/>
      <c r="AR30" s="16"/>
      <c r="AS30" s="16"/>
      <c r="AT30" s="16"/>
      <c r="AU30" s="16"/>
      <c r="AV30" s="16"/>
      <c r="AW30" s="236"/>
    </row>
    <row r="31" spans="1:49" ht="12.75" customHeight="1">
      <c r="A31" s="2" t="s">
        <v>19</v>
      </c>
      <c r="B31" s="15"/>
      <c r="C31" s="15"/>
      <c r="D31" s="15"/>
      <c r="E31" s="15"/>
      <c r="F31" s="16">
        <v>1621.38</v>
      </c>
      <c r="G31" s="16"/>
      <c r="H31" s="16">
        <v>1750</v>
      </c>
      <c r="I31" s="16">
        <v>2213</v>
      </c>
      <c r="J31" s="16"/>
      <c r="K31" s="16">
        <v>2000</v>
      </c>
      <c r="L31" s="16">
        <v>1539</v>
      </c>
      <c r="M31" s="16">
        <v>1539</v>
      </c>
      <c r="N31" s="16">
        <v>1539</v>
      </c>
      <c r="O31" s="16"/>
      <c r="P31" s="16">
        <v>2000</v>
      </c>
      <c r="Q31" s="16">
        <v>2000</v>
      </c>
      <c r="R31" s="105"/>
      <c r="S31" s="105"/>
      <c r="T31" s="16"/>
      <c r="U31" s="16">
        <v>0</v>
      </c>
      <c r="V31" s="105">
        <v>0</v>
      </c>
      <c r="W31" s="16">
        <v>0</v>
      </c>
      <c r="Y31" s="16"/>
      <c r="Z31" s="105"/>
      <c r="AA31" s="16"/>
      <c r="AB31" s="16"/>
      <c r="AC31" s="16"/>
      <c r="AD31" s="16"/>
      <c r="AE31" s="16"/>
      <c r="AF31" s="16"/>
      <c r="AG31" s="16"/>
      <c r="AH31" s="236"/>
      <c r="AI31" s="16"/>
      <c r="AJ31" s="16"/>
      <c r="AK31" s="16"/>
      <c r="AL31" s="16"/>
      <c r="AM31" s="16"/>
      <c r="AN31" s="16"/>
      <c r="AO31" s="236"/>
      <c r="AP31" s="16"/>
      <c r="AQ31" s="16"/>
      <c r="AR31" s="16"/>
      <c r="AS31" s="16"/>
      <c r="AT31" s="16"/>
      <c r="AU31" s="16"/>
      <c r="AV31" s="16"/>
      <c r="AW31" s="236"/>
    </row>
    <row r="32" spans="1:49" ht="15.75" customHeight="1">
      <c r="A32" s="5" t="s">
        <v>238</v>
      </c>
      <c r="B32" s="15"/>
      <c r="C32" s="15"/>
      <c r="D32" s="15"/>
      <c r="E32" s="15"/>
      <c r="F32" s="15"/>
      <c r="G32" s="15"/>
      <c r="H32" s="21"/>
      <c r="I32" s="14"/>
      <c r="J32" s="14"/>
      <c r="K32" s="16"/>
      <c r="L32" s="16"/>
      <c r="M32" s="16"/>
      <c r="N32" s="16"/>
      <c r="O32" s="16"/>
      <c r="P32" s="16"/>
      <c r="Q32" s="16"/>
      <c r="R32" s="105"/>
      <c r="S32" s="105"/>
      <c r="T32" s="16"/>
      <c r="U32" s="16">
        <v>0</v>
      </c>
      <c r="V32" s="105">
        <v>0</v>
      </c>
      <c r="W32" s="16">
        <v>0</v>
      </c>
      <c r="Y32" s="16"/>
      <c r="Z32" s="105"/>
      <c r="AA32" s="16"/>
      <c r="AB32" s="16"/>
      <c r="AC32" s="16"/>
      <c r="AD32" s="16"/>
      <c r="AE32" s="16">
        <v>3910</v>
      </c>
      <c r="AF32" s="105">
        <v>4488</v>
      </c>
      <c r="AG32" s="105">
        <v>4488</v>
      </c>
      <c r="AH32" s="236"/>
      <c r="AI32" s="16"/>
      <c r="AJ32" s="16"/>
      <c r="AK32" s="16"/>
      <c r="AL32" s="16"/>
      <c r="AM32" s="16"/>
      <c r="AN32" s="16"/>
      <c r="AO32" s="236"/>
      <c r="AP32" s="16"/>
      <c r="AQ32" s="16"/>
      <c r="AR32" s="16"/>
      <c r="AS32" s="16"/>
      <c r="AT32" s="16"/>
      <c r="AU32" s="16"/>
      <c r="AV32" s="16"/>
      <c r="AW32" s="236"/>
    </row>
    <row r="33" spans="1:49" ht="17.25" customHeight="1">
      <c r="A33" s="2" t="s">
        <v>37</v>
      </c>
      <c r="B33" s="15"/>
      <c r="C33" s="15"/>
      <c r="D33" s="15"/>
      <c r="E33" s="15"/>
      <c r="F33" s="15"/>
      <c r="G33" s="15"/>
      <c r="H33" s="21"/>
      <c r="I33" s="36">
        <v>10</v>
      </c>
      <c r="J33" s="36"/>
      <c r="K33" s="16">
        <v>100</v>
      </c>
      <c r="L33" s="16">
        <v>145</v>
      </c>
      <c r="M33" s="16">
        <v>145</v>
      </c>
      <c r="N33" s="16">
        <v>145</v>
      </c>
      <c r="O33" s="16"/>
      <c r="P33" s="16">
        <v>100</v>
      </c>
      <c r="Q33" s="16">
        <v>100</v>
      </c>
      <c r="R33" s="105"/>
      <c r="S33" s="105"/>
      <c r="T33" s="16">
        <v>100</v>
      </c>
      <c r="U33" s="16">
        <v>0</v>
      </c>
      <c r="V33" s="105">
        <v>0</v>
      </c>
      <c r="W33" s="16">
        <v>0</v>
      </c>
      <c r="Y33" s="16">
        <v>100</v>
      </c>
      <c r="Z33" s="105">
        <v>0</v>
      </c>
      <c r="AA33" s="16">
        <v>0</v>
      </c>
      <c r="AB33" s="16">
        <v>100</v>
      </c>
      <c r="AC33" s="16"/>
      <c r="AD33" s="16"/>
      <c r="AE33" s="16">
        <v>24</v>
      </c>
      <c r="AF33" s="16">
        <v>24</v>
      </c>
      <c r="AG33" s="16">
        <v>24</v>
      </c>
      <c r="AH33" s="236"/>
      <c r="AI33" s="16"/>
      <c r="AJ33" s="16"/>
      <c r="AK33" s="16"/>
      <c r="AL33" s="16"/>
      <c r="AM33" s="16"/>
      <c r="AN33" s="16"/>
      <c r="AO33" s="236"/>
      <c r="AP33" s="16"/>
      <c r="AQ33" s="16"/>
      <c r="AR33" s="16"/>
      <c r="AS33" s="16"/>
      <c r="AT33" s="16"/>
      <c r="AU33" s="16"/>
      <c r="AV33" s="16"/>
      <c r="AW33" s="236"/>
    </row>
    <row r="34" spans="1:49" ht="15" customHeight="1">
      <c r="A34" s="18" t="s">
        <v>38</v>
      </c>
      <c r="B34" s="15">
        <f>SUM(B30:B33)</f>
        <v>0</v>
      </c>
      <c r="C34" s="15"/>
      <c r="D34" s="15"/>
      <c r="E34" s="15"/>
      <c r="F34" s="15">
        <f>SUM(F30:F33)</f>
        <v>4619.27</v>
      </c>
      <c r="G34" s="15"/>
      <c r="H34" s="15">
        <f>SUM(H30:H33)</f>
        <v>5750</v>
      </c>
      <c r="I34" s="15">
        <f>SUM(I30:I33)</f>
        <v>4921</v>
      </c>
      <c r="J34" s="15"/>
      <c r="K34" s="15">
        <f>SUM(K30:K33)</f>
        <v>6100</v>
      </c>
      <c r="L34" s="15">
        <f>SUM(L30:L33)</f>
        <v>3599</v>
      </c>
      <c r="M34" s="15">
        <f>SUM(M30:M33)</f>
        <v>3599</v>
      </c>
      <c r="N34" s="15">
        <f>SUM(N30:N33)</f>
        <v>3599</v>
      </c>
      <c r="O34" s="15"/>
      <c r="P34" s="15">
        <v>6100</v>
      </c>
      <c r="Q34" s="15">
        <f aca="true" t="shared" si="9" ref="Q34:W34">SUM(Q30:Q33)</f>
        <v>6100</v>
      </c>
      <c r="R34" s="15">
        <f t="shared" si="9"/>
        <v>2015</v>
      </c>
      <c r="S34" s="15">
        <f t="shared" si="9"/>
        <v>2014</v>
      </c>
      <c r="T34" s="15">
        <f t="shared" si="9"/>
        <v>2100</v>
      </c>
      <c r="U34" s="15">
        <f t="shared" si="9"/>
        <v>0</v>
      </c>
      <c r="V34" s="15">
        <f>SUM(V30:V33)</f>
        <v>0</v>
      </c>
      <c r="W34" s="15">
        <f t="shared" si="9"/>
        <v>0</v>
      </c>
      <c r="Y34" s="15">
        <f>SUM(Y30:Y33)</f>
        <v>850</v>
      </c>
      <c r="Z34" s="15">
        <f>SUM(Z30:Z33)</f>
        <v>0</v>
      </c>
      <c r="AA34" s="15">
        <f>SUM(AA30:AA33)</f>
        <v>0</v>
      </c>
      <c r="AB34" s="15">
        <f>SUM(AB30:AB33)</f>
        <v>850</v>
      </c>
      <c r="AC34" s="15"/>
      <c r="AD34" s="15"/>
      <c r="AE34" s="15">
        <f>SUM(AE30:AE33)</f>
        <v>3934</v>
      </c>
      <c r="AF34" s="15">
        <f>SUM(AF30:AF33)</f>
        <v>4512</v>
      </c>
      <c r="AG34" s="15">
        <f>SUM(AG30:AG33)</f>
        <v>4512</v>
      </c>
      <c r="AH34" s="237"/>
      <c r="AI34" s="15"/>
      <c r="AJ34" s="15"/>
      <c r="AK34" s="15"/>
      <c r="AL34" s="15"/>
      <c r="AM34" s="15"/>
      <c r="AN34" s="15"/>
      <c r="AO34" s="237"/>
      <c r="AP34" s="15"/>
      <c r="AQ34" s="15"/>
      <c r="AR34" s="15"/>
      <c r="AS34" s="15"/>
      <c r="AT34" s="15"/>
      <c r="AU34" s="15"/>
      <c r="AV34" s="15"/>
      <c r="AW34" s="237"/>
    </row>
    <row r="35" spans="1:49" ht="15">
      <c r="A35" s="37" t="s">
        <v>39</v>
      </c>
      <c r="B35" s="38">
        <f>B28-B34</f>
        <v>1770</v>
      </c>
      <c r="C35" s="38"/>
      <c r="D35" s="38"/>
      <c r="E35" s="38"/>
      <c r="F35" s="38">
        <f>F28-F34</f>
        <v>6069.73</v>
      </c>
      <c r="G35" s="38"/>
      <c r="H35" s="38">
        <f>H28-H34</f>
        <v>6250</v>
      </c>
      <c r="I35" s="38">
        <f>I28-I34</f>
        <v>7275</v>
      </c>
      <c r="J35" s="38"/>
      <c r="K35" s="38">
        <f>K28-K34</f>
        <v>7550</v>
      </c>
      <c r="L35" s="38">
        <f>L28-L34</f>
        <v>12246</v>
      </c>
      <c r="M35" s="38">
        <f>M28-M34</f>
        <v>12246</v>
      </c>
      <c r="N35" s="38">
        <f>N28-N34</f>
        <v>12246</v>
      </c>
      <c r="O35" s="38"/>
      <c r="P35" s="38">
        <f aca="true" t="shared" si="10" ref="P35:W35">P28-P34</f>
        <v>7550</v>
      </c>
      <c r="Q35" s="38">
        <f t="shared" si="10"/>
        <v>9150</v>
      </c>
      <c r="R35" s="38">
        <f t="shared" si="10"/>
        <v>6264</v>
      </c>
      <c r="S35" s="38">
        <f t="shared" si="10"/>
        <v>6265</v>
      </c>
      <c r="T35" s="38">
        <f t="shared" si="10"/>
        <v>6400</v>
      </c>
      <c r="U35" s="38">
        <f t="shared" si="10"/>
        <v>4530</v>
      </c>
      <c r="V35" s="38">
        <f>V28-V34</f>
        <v>4530</v>
      </c>
      <c r="W35" s="38">
        <f t="shared" si="10"/>
        <v>4530</v>
      </c>
      <c r="X35" s="248" t="s">
        <v>229</v>
      </c>
      <c r="Y35" s="150">
        <f>Y28-Y34</f>
        <v>4150</v>
      </c>
      <c r="Z35" s="211">
        <f>Z28-Z34</f>
        <v>3000</v>
      </c>
      <c r="AA35" s="211">
        <f>AA28-AA34</f>
        <v>3000</v>
      </c>
      <c r="AB35" s="150">
        <f>AB28-AB34</f>
        <v>4150</v>
      </c>
      <c r="AC35" s="15"/>
      <c r="AD35" s="173">
        <v>5403</v>
      </c>
      <c r="AE35" s="211">
        <f>AE28-AE34</f>
        <v>5038</v>
      </c>
      <c r="AF35" s="211">
        <f>AF28-AF34</f>
        <v>4530</v>
      </c>
      <c r="AG35" s="211">
        <f>AG28-AG34</f>
        <v>4530</v>
      </c>
      <c r="AH35" s="237"/>
      <c r="AI35" s="173">
        <v>10000</v>
      </c>
      <c r="AJ35" s="173">
        <v>0</v>
      </c>
      <c r="AK35" s="173">
        <v>0</v>
      </c>
      <c r="AL35" s="173">
        <v>0</v>
      </c>
      <c r="AM35" s="173"/>
      <c r="AN35" s="173"/>
      <c r="AO35" s="237"/>
      <c r="AP35" s="173">
        <v>0</v>
      </c>
      <c r="AQ35" s="173">
        <v>0</v>
      </c>
      <c r="AR35" s="173">
        <v>0</v>
      </c>
      <c r="AS35" s="173"/>
      <c r="AT35" s="173">
        <v>0</v>
      </c>
      <c r="AU35" s="173">
        <v>0</v>
      </c>
      <c r="AV35" s="173"/>
      <c r="AW35" s="237"/>
    </row>
    <row r="36" spans="1:53" s="40" customFormat="1" ht="15">
      <c r="A36" s="39"/>
      <c r="B36" s="15"/>
      <c r="C36" s="15"/>
      <c r="D36" s="15"/>
      <c r="E36" s="15"/>
      <c r="F36" s="15"/>
      <c r="G36" s="15"/>
      <c r="H36" s="15"/>
      <c r="I36" s="14"/>
      <c r="J36" s="14"/>
      <c r="K36" s="15"/>
      <c r="L36" s="15"/>
      <c r="M36" s="15"/>
      <c r="N36" s="15"/>
      <c r="O36" s="15"/>
      <c r="P36" s="15"/>
      <c r="Q36" s="15"/>
      <c r="R36" s="104"/>
      <c r="S36" s="104"/>
      <c r="T36" s="15"/>
      <c r="U36" s="15"/>
      <c r="V36" s="104"/>
      <c r="W36" s="15"/>
      <c r="Y36" s="15"/>
      <c r="Z36" s="199"/>
      <c r="AA36" s="116"/>
      <c r="AB36" s="116"/>
      <c r="AC36" s="116"/>
      <c r="AD36" s="116"/>
      <c r="AE36" s="116"/>
      <c r="AF36" s="256">
        <f>AF35-AD35</f>
        <v>-873</v>
      </c>
      <c r="AG36" s="256">
        <f>AG35-AD35</f>
        <v>-873</v>
      </c>
      <c r="AH36" s="189"/>
      <c r="AI36" s="116"/>
      <c r="AJ36" s="116"/>
      <c r="AK36" s="116"/>
      <c r="AL36" s="116"/>
      <c r="AM36" s="116"/>
      <c r="AN36" s="116"/>
      <c r="AO36" s="189"/>
      <c r="AP36" s="116"/>
      <c r="AQ36" s="116"/>
      <c r="AR36" s="116"/>
      <c r="AS36" s="116"/>
      <c r="AT36" s="116"/>
      <c r="AU36" s="116"/>
      <c r="AV36" s="116"/>
      <c r="AW36" s="189"/>
      <c r="AX36" s="116"/>
      <c r="AY36" s="116"/>
      <c r="BA36" s="116"/>
    </row>
    <row r="37" spans="1:51" ht="15">
      <c r="A37" s="41" t="s">
        <v>228</v>
      </c>
      <c r="B37" s="15"/>
      <c r="C37" s="15"/>
      <c r="D37" s="15"/>
      <c r="E37" s="15"/>
      <c r="F37" s="15"/>
      <c r="G37" s="15"/>
      <c r="H37" s="21"/>
      <c r="I37" s="14"/>
      <c r="J37" s="14"/>
      <c r="K37" s="15"/>
      <c r="L37" s="15"/>
      <c r="M37" s="15"/>
      <c r="N37" s="15"/>
      <c r="O37" s="15"/>
      <c r="P37" s="15"/>
      <c r="Q37" s="134" t="s">
        <v>155</v>
      </c>
      <c r="R37" s="104"/>
      <c r="S37" s="134" t="s">
        <v>155</v>
      </c>
      <c r="T37" s="134" t="s">
        <v>155</v>
      </c>
      <c r="U37" s="134"/>
      <c r="V37" s="134"/>
      <c r="W37" s="134"/>
      <c r="Y37" s="134"/>
      <c r="Z37" s="158" t="s">
        <v>162</v>
      </c>
      <c r="AA37" s="158" t="s">
        <v>162</v>
      </c>
      <c r="AB37" s="159"/>
      <c r="AD37" s="134" t="s">
        <v>155</v>
      </c>
      <c r="AE37" s="15"/>
      <c r="AF37" s="257" t="s">
        <v>244</v>
      </c>
      <c r="AG37" s="257" t="s">
        <v>244</v>
      </c>
      <c r="AH37" s="237"/>
      <c r="AI37" s="263"/>
      <c r="AJ37" s="263"/>
      <c r="AK37" s="263"/>
      <c r="AL37" s="263"/>
      <c r="AM37" s="263"/>
      <c r="AN37" s="263"/>
      <c r="AO37" s="237"/>
      <c r="AP37" s="263"/>
      <c r="AQ37" s="263"/>
      <c r="AR37" s="263"/>
      <c r="AS37" s="263"/>
      <c r="AT37" s="263"/>
      <c r="AU37" s="263"/>
      <c r="AV37" s="263"/>
      <c r="AW37" s="237"/>
      <c r="AX37" s="159" t="s">
        <v>164</v>
      </c>
      <c r="AY37" s="159"/>
    </row>
    <row r="38" spans="1:51" ht="17.25" customHeight="1">
      <c r="A38" s="2" t="s">
        <v>40</v>
      </c>
      <c r="B38" s="15"/>
      <c r="C38" s="15"/>
      <c r="D38" s="15"/>
      <c r="E38" s="15"/>
      <c r="F38" s="15"/>
      <c r="G38" s="15"/>
      <c r="H38" s="21"/>
      <c r="I38" s="133" t="s">
        <v>2</v>
      </c>
      <c r="J38" s="42" t="s">
        <v>3</v>
      </c>
      <c r="K38" s="20"/>
      <c r="L38" s="20"/>
      <c r="M38" s="14"/>
      <c r="N38" s="14"/>
      <c r="O38" s="42" t="s">
        <v>4</v>
      </c>
      <c r="P38" s="20"/>
      <c r="Q38" s="42" t="s">
        <v>144</v>
      </c>
      <c r="R38" s="106"/>
      <c r="S38" s="42" t="s">
        <v>156</v>
      </c>
      <c r="T38" s="42" t="s">
        <v>144</v>
      </c>
      <c r="U38" s="42"/>
      <c r="V38" s="42"/>
      <c r="W38" s="42"/>
      <c r="X38" s="42" t="s">
        <v>5</v>
      </c>
      <c r="Y38" s="42" t="s">
        <v>170</v>
      </c>
      <c r="Z38" s="154" t="s">
        <v>163</v>
      </c>
      <c r="AA38" s="154" t="s">
        <v>163</v>
      </c>
      <c r="AB38" s="159"/>
      <c r="AD38" s="42" t="s">
        <v>170</v>
      </c>
      <c r="AE38" s="14"/>
      <c r="AF38" s="14"/>
      <c r="AG38" s="14"/>
      <c r="AH38" s="238"/>
      <c r="AI38" s="264"/>
      <c r="AJ38" s="264"/>
      <c r="AK38" s="264"/>
      <c r="AL38" s="264"/>
      <c r="AM38" s="264"/>
      <c r="AN38" s="264"/>
      <c r="AO38" s="238"/>
      <c r="AP38" s="264"/>
      <c r="AQ38" s="264"/>
      <c r="AR38" s="264"/>
      <c r="AS38" s="264"/>
      <c r="AT38" s="264"/>
      <c r="AU38" s="264"/>
      <c r="AV38" s="264"/>
      <c r="AW38" s="238"/>
      <c r="AX38" s="182" t="s">
        <v>3</v>
      </c>
      <c r="AY38" s="159"/>
    </row>
    <row r="39" spans="1:51" ht="18.75" customHeight="1">
      <c r="A39" s="43">
        <v>100</v>
      </c>
      <c r="B39" s="15"/>
      <c r="C39" s="15"/>
      <c r="D39" s="15"/>
      <c r="E39" s="15"/>
      <c r="F39" s="15"/>
      <c r="G39" s="15"/>
      <c r="H39" s="21"/>
      <c r="I39" s="16">
        <f>8*100</f>
        <v>800</v>
      </c>
      <c r="J39" s="44" t="s">
        <v>41</v>
      </c>
      <c r="K39" s="16">
        <f>15*100</f>
        <v>1500</v>
      </c>
      <c r="L39" s="16">
        <v>805</v>
      </c>
      <c r="M39" s="16">
        <v>150</v>
      </c>
      <c r="N39" s="16">
        <v>1000</v>
      </c>
      <c r="O39" s="44" t="s">
        <v>42</v>
      </c>
      <c r="P39" s="16">
        <f>20*100</f>
        <v>2000</v>
      </c>
      <c r="Q39" s="16">
        <f>15*100</f>
        <v>1500</v>
      </c>
      <c r="R39" s="105">
        <v>500</v>
      </c>
      <c r="S39" s="105">
        <v>805</v>
      </c>
      <c r="T39" s="16">
        <f>15*100</f>
        <v>1500</v>
      </c>
      <c r="U39" s="16"/>
      <c r="V39" s="105">
        <v>250</v>
      </c>
      <c r="W39" s="16"/>
      <c r="X39" s="44" t="s">
        <v>171</v>
      </c>
      <c r="Y39" s="16">
        <f>25*100</f>
        <v>2500</v>
      </c>
      <c r="Z39" s="206">
        <v>350</v>
      </c>
      <c r="AA39" s="159"/>
      <c r="AB39" s="159"/>
      <c r="AD39" s="16">
        <f>25*100</f>
        <v>2500</v>
      </c>
      <c r="AE39" s="16">
        <v>0</v>
      </c>
      <c r="AF39" s="16">
        <v>775</v>
      </c>
      <c r="AG39" s="16">
        <v>775</v>
      </c>
      <c r="AH39" s="236"/>
      <c r="AI39" s="16">
        <v>1500</v>
      </c>
      <c r="AJ39" s="16"/>
      <c r="AK39" s="16"/>
      <c r="AL39" s="16"/>
      <c r="AM39" s="16"/>
      <c r="AN39" s="16"/>
      <c r="AO39" s="236"/>
      <c r="AP39" s="16"/>
      <c r="AQ39" s="16"/>
      <c r="AR39" s="16"/>
      <c r="AS39" s="16"/>
      <c r="AT39" s="16"/>
      <c r="AU39" s="16"/>
      <c r="AV39" s="16"/>
      <c r="AW39" s="236"/>
      <c r="AX39" s="159">
        <f>AY39*A39</f>
        <v>300</v>
      </c>
      <c r="AY39" s="159">
        <v>3</v>
      </c>
    </row>
    <row r="40" spans="1:51" ht="18" customHeight="1">
      <c r="A40" s="43">
        <v>250</v>
      </c>
      <c r="B40" s="15"/>
      <c r="C40" s="15"/>
      <c r="D40" s="15"/>
      <c r="E40" s="15"/>
      <c r="F40" s="15"/>
      <c r="G40" s="15"/>
      <c r="H40" s="21"/>
      <c r="I40" s="16">
        <f>4*250</f>
        <v>1000</v>
      </c>
      <c r="J40" s="44" t="s">
        <v>43</v>
      </c>
      <c r="K40" s="16">
        <f>6*250</f>
        <v>1500</v>
      </c>
      <c r="L40" s="16">
        <v>5600</v>
      </c>
      <c r="M40" s="16">
        <v>1500</v>
      </c>
      <c r="N40" s="16">
        <v>1250</v>
      </c>
      <c r="O40" s="44" t="s">
        <v>44</v>
      </c>
      <c r="P40" s="16">
        <f>8*250</f>
        <v>2000</v>
      </c>
      <c r="Q40" s="16">
        <f>6*250</f>
        <v>1500</v>
      </c>
      <c r="R40" s="105">
        <v>1600</v>
      </c>
      <c r="S40" s="105">
        <v>5600</v>
      </c>
      <c r="T40" s="16">
        <f>6*250</f>
        <v>1500</v>
      </c>
      <c r="U40" s="16">
        <v>250</v>
      </c>
      <c r="V40" s="105">
        <v>3750</v>
      </c>
      <c r="W40" s="16"/>
      <c r="X40" s="44" t="s">
        <v>173</v>
      </c>
      <c r="Y40" s="16">
        <f>10*250</f>
        <v>2500</v>
      </c>
      <c r="Z40" s="206">
        <v>800</v>
      </c>
      <c r="AA40" s="159"/>
      <c r="AB40" s="159"/>
      <c r="AD40" s="16">
        <f>10*250</f>
        <v>2500</v>
      </c>
      <c r="AE40" s="16">
        <v>500</v>
      </c>
      <c r="AF40" s="16">
        <v>1850</v>
      </c>
      <c r="AG40" s="16">
        <v>1850</v>
      </c>
      <c r="AH40" s="236"/>
      <c r="AI40" s="16">
        <v>3000</v>
      </c>
      <c r="AJ40" s="16"/>
      <c r="AK40" s="16"/>
      <c r="AL40" s="16"/>
      <c r="AM40" s="16"/>
      <c r="AN40" s="16"/>
      <c r="AO40" s="236"/>
      <c r="AP40" s="16"/>
      <c r="AQ40" s="16"/>
      <c r="AR40" s="16"/>
      <c r="AS40" s="16"/>
      <c r="AT40" s="16"/>
      <c r="AU40" s="16"/>
      <c r="AV40" s="16"/>
      <c r="AW40" s="236"/>
      <c r="AX40" s="159">
        <f>AY40*A40</f>
        <v>1000</v>
      </c>
      <c r="AY40" s="159">
        <v>4</v>
      </c>
    </row>
    <row r="41" spans="1:51" ht="18" customHeight="1">
      <c r="A41" s="43">
        <v>500</v>
      </c>
      <c r="B41" s="15"/>
      <c r="C41" s="15"/>
      <c r="D41" s="15"/>
      <c r="E41" s="15"/>
      <c r="F41" s="15"/>
      <c r="G41" s="15"/>
      <c r="H41" s="21"/>
      <c r="I41" s="16">
        <v>3250</v>
      </c>
      <c r="J41" s="44" t="s">
        <v>44</v>
      </c>
      <c r="K41" s="16">
        <f>8*500</f>
        <v>4000</v>
      </c>
      <c r="L41" s="16" t="s">
        <v>146</v>
      </c>
      <c r="M41" s="44"/>
      <c r="N41" s="16">
        <v>3500</v>
      </c>
      <c r="O41" s="44" t="s">
        <v>45</v>
      </c>
      <c r="P41" s="16">
        <f>10*500</f>
        <v>5000</v>
      </c>
      <c r="Q41" s="16">
        <f>8*500</f>
        <v>4000</v>
      </c>
      <c r="R41" s="105">
        <v>1500</v>
      </c>
      <c r="S41" s="105" t="s">
        <v>146</v>
      </c>
      <c r="T41" s="16">
        <f>8*500</f>
        <v>4000</v>
      </c>
      <c r="U41" s="16">
        <v>500</v>
      </c>
      <c r="V41" s="105">
        <v>1000</v>
      </c>
      <c r="W41" s="16"/>
      <c r="X41" s="44" t="s">
        <v>174</v>
      </c>
      <c r="Y41" s="16">
        <f>10*500</f>
        <v>5000</v>
      </c>
      <c r="Z41" s="206">
        <v>3750</v>
      </c>
      <c r="AA41" s="162">
        <f>AB41*A41</f>
        <v>5000</v>
      </c>
      <c r="AB41" s="160">
        <v>10</v>
      </c>
      <c r="AC41" s="224"/>
      <c r="AD41" s="16">
        <f>10*500</f>
        <v>5000</v>
      </c>
      <c r="AE41" s="16">
        <v>0</v>
      </c>
      <c r="AF41" s="16">
        <v>3700</v>
      </c>
      <c r="AG41" s="16">
        <v>3700</v>
      </c>
      <c r="AH41" s="236"/>
      <c r="AI41" s="16">
        <v>4000</v>
      </c>
      <c r="AJ41" s="16">
        <v>500</v>
      </c>
      <c r="AK41" s="16">
        <v>500</v>
      </c>
      <c r="AL41" s="16">
        <v>500</v>
      </c>
      <c r="AM41" s="16"/>
      <c r="AN41" s="16"/>
      <c r="AO41" s="236"/>
      <c r="AP41" s="16">
        <v>0</v>
      </c>
      <c r="AQ41" s="16">
        <v>0</v>
      </c>
      <c r="AR41" s="16"/>
      <c r="AS41" s="16">
        <v>-750</v>
      </c>
      <c r="AT41" s="16"/>
      <c r="AU41" s="16"/>
      <c r="AV41" s="16"/>
      <c r="AW41" s="236"/>
      <c r="AX41" s="159">
        <f>AY41*A41</f>
        <v>1500</v>
      </c>
      <c r="AY41" s="159">
        <v>3</v>
      </c>
    </row>
    <row r="42" spans="1:51" ht="18.75" customHeight="1">
      <c r="A42" s="43">
        <v>1000</v>
      </c>
      <c r="B42" s="15"/>
      <c r="C42" s="15"/>
      <c r="D42" s="15"/>
      <c r="E42" s="15"/>
      <c r="F42" s="15"/>
      <c r="G42" s="15"/>
      <c r="H42" s="21"/>
      <c r="I42" s="16">
        <v>5000</v>
      </c>
      <c r="J42" s="44" t="s">
        <v>43</v>
      </c>
      <c r="K42" s="16">
        <f>6*1000</f>
        <v>6000</v>
      </c>
      <c r="L42" s="16">
        <v>3750</v>
      </c>
      <c r="M42" s="44"/>
      <c r="N42" s="16">
        <v>5000</v>
      </c>
      <c r="O42" s="44" t="s">
        <v>43</v>
      </c>
      <c r="P42" s="16">
        <f>6*1000</f>
        <v>6000</v>
      </c>
      <c r="Q42" s="16">
        <f>6*1000</f>
        <v>6000</v>
      </c>
      <c r="R42" s="105">
        <v>4500</v>
      </c>
      <c r="S42" s="105">
        <v>3750</v>
      </c>
      <c r="T42" s="16">
        <f>6*1000</f>
        <v>6000</v>
      </c>
      <c r="U42" s="16"/>
      <c r="V42" s="105">
        <v>3500</v>
      </c>
      <c r="W42" s="16"/>
      <c r="X42" s="44" t="s">
        <v>175</v>
      </c>
      <c r="Y42" s="16">
        <f>7*1000</f>
        <v>7000</v>
      </c>
      <c r="Z42" s="206">
        <v>2000</v>
      </c>
      <c r="AA42" s="162">
        <f>AB42*A42</f>
        <v>1000</v>
      </c>
      <c r="AB42" s="160">
        <v>1</v>
      </c>
      <c r="AC42" s="224"/>
      <c r="AD42" s="16">
        <f>7*1000</f>
        <v>7000</v>
      </c>
      <c r="AE42" s="16">
        <v>1000</v>
      </c>
      <c r="AF42" s="16">
        <v>2500</v>
      </c>
      <c r="AG42" s="16">
        <v>2500</v>
      </c>
      <c r="AH42" s="236"/>
      <c r="AI42" s="16">
        <v>3000</v>
      </c>
      <c r="AJ42" s="16"/>
      <c r="AK42" s="16"/>
      <c r="AL42" s="16"/>
      <c r="AM42" s="16"/>
      <c r="AN42" s="16"/>
      <c r="AO42" s="236"/>
      <c r="AP42" s="16"/>
      <c r="AQ42" s="16"/>
      <c r="AR42" s="16"/>
      <c r="AS42" s="16"/>
      <c r="AT42" s="16"/>
      <c r="AU42" s="16"/>
      <c r="AV42" s="16"/>
      <c r="AW42" s="236"/>
      <c r="AX42" s="159">
        <f>AY42*A42</f>
        <v>2000</v>
      </c>
      <c r="AY42" s="159">
        <v>2</v>
      </c>
    </row>
    <row r="43" spans="1:51" ht="20.25" customHeight="1">
      <c r="A43" s="45">
        <v>2000</v>
      </c>
      <c r="B43" s="16"/>
      <c r="C43" s="15"/>
      <c r="D43" s="15"/>
      <c r="E43" s="15"/>
      <c r="F43" s="16"/>
      <c r="G43" s="15"/>
      <c r="H43" s="21"/>
      <c r="I43" s="44"/>
      <c r="J43" s="44" t="s">
        <v>46</v>
      </c>
      <c r="K43" s="16">
        <f>1*2000</f>
        <v>2000</v>
      </c>
      <c r="L43" s="16"/>
      <c r="M43" s="44"/>
      <c r="N43" s="16">
        <v>0</v>
      </c>
      <c r="O43" s="44" t="s">
        <v>47</v>
      </c>
      <c r="P43" s="16">
        <f>2*2000</f>
        <v>4000</v>
      </c>
      <c r="Q43" s="16">
        <f>1*2000</f>
        <v>2000</v>
      </c>
      <c r="R43" s="105"/>
      <c r="S43" s="105"/>
      <c r="T43" s="16">
        <f>1*2000</f>
        <v>2000</v>
      </c>
      <c r="U43" s="16"/>
      <c r="V43" s="105"/>
      <c r="W43" s="16"/>
      <c r="X43" s="44" t="s">
        <v>46</v>
      </c>
      <c r="Y43" s="16">
        <f>1*2000</f>
        <v>2000</v>
      </c>
      <c r="Z43" s="206">
        <v>1500</v>
      </c>
      <c r="AA43" s="162"/>
      <c r="AB43" s="160"/>
      <c r="AC43" s="224"/>
      <c r="AD43" s="16">
        <f>1*2000</f>
        <v>2000</v>
      </c>
      <c r="AE43" s="16">
        <v>0</v>
      </c>
      <c r="AF43" s="16">
        <v>0</v>
      </c>
      <c r="AG43" s="16">
        <v>0</v>
      </c>
      <c r="AH43" s="236"/>
      <c r="AI43" s="16">
        <v>0</v>
      </c>
      <c r="AJ43" s="16"/>
      <c r="AK43" s="16"/>
      <c r="AL43" s="16"/>
      <c r="AM43" s="16"/>
      <c r="AN43" s="16"/>
      <c r="AO43" s="236"/>
      <c r="AP43" s="16"/>
      <c r="AQ43" s="16"/>
      <c r="AR43" s="16"/>
      <c r="AS43" s="16"/>
      <c r="AT43" s="16"/>
      <c r="AU43" s="16"/>
      <c r="AV43" s="16"/>
      <c r="AW43" s="236"/>
      <c r="AX43" s="159"/>
      <c r="AY43" s="159"/>
    </row>
    <row r="44" spans="1:51" ht="18" customHeight="1">
      <c r="A44" s="45" t="s">
        <v>48</v>
      </c>
      <c r="B44" s="16"/>
      <c r="C44" s="15"/>
      <c r="D44" s="15"/>
      <c r="E44" s="15"/>
      <c r="F44" s="16"/>
      <c r="G44" s="15"/>
      <c r="H44" s="21"/>
      <c r="I44" s="14"/>
      <c r="J44" s="14"/>
      <c r="K44" s="15"/>
      <c r="L44" s="15"/>
      <c r="M44" s="15"/>
      <c r="N44" s="15"/>
      <c r="O44" s="15"/>
      <c r="P44" s="15"/>
      <c r="Q44" s="15"/>
      <c r="R44" s="104"/>
      <c r="S44" s="104"/>
      <c r="T44" s="15"/>
      <c r="U44" s="16">
        <v>2500</v>
      </c>
      <c r="V44" s="105">
        <v>2500</v>
      </c>
      <c r="W44" s="16"/>
      <c r="X44" s="44" t="s">
        <v>172</v>
      </c>
      <c r="Y44" s="16">
        <v>2500</v>
      </c>
      <c r="Z44" s="206">
        <v>0</v>
      </c>
      <c r="AA44" s="162">
        <f>1500+2500</f>
        <v>4000</v>
      </c>
      <c r="AB44" s="160">
        <v>2</v>
      </c>
      <c r="AC44" s="224"/>
      <c r="AD44" s="16">
        <v>2500</v>
      </c>
      <c r="AE44" s="16">
        <v>0</v>
      </c>
      <c r="AF44" s="16">
        <v>0</v>
      </c>
      <c r="AG44" s="16">
        <v>0</v>
      </c>
      <c r="AH44" s="236"/>
      <c r="AI44" s="16">
        <v>0</v>
      </c>
      <c r="AJ44" s="16"/>
      <c r="AK44" s="16"/>
      <c r="AL44" s="16"/>
      <c r="AM44" s="16"/>
      <c r="AN44" s="16"/>
      <c r="AO44" s="236"/>
      <c r="AP44" s="16"/>
      <c r="AQ44" s="16"/>
      <c r="AR44" s="16"/>
      <c r="AS44" s="16"/>
      <c r="AT44" s="16"/>
      <c r="AU44" s="16"/>
      <c r="AV44" s="16"/>
      <c r="AW44" s="236"/>
      <c r="AX44" s="159">
        <f>2*200</f>
        <v>400</v>
      </c>
      <c r="AY44" s="159">
        <v>2</v>
      </c>
    </row>
    <row r="45" spans="1:52" ht="15">
      <c r="A45" s="45" t="s">
        <v>49</v>
      </c>
      <c r="B45" s="16"/>
      <c r="C45" s="15"/>
      <c r="D45" s="15"/>
      <c r="E45" s="15"/>
      <c r="F45" s="16"/>
      <c r="G45" s="15"/>
      <c r="H45" s="21"/>
      <c r="I45" s="16">
        <v>0</v>
      </c>
      <c r="J45" s="14"/>
      <c r="K45" s="15"/>
      <c r="L45" s="15"/>
      <c r="M45" s="15"/>
      <c r="N45" s="15"/>
      <c r="O45" s="15"/>
      <c r="P45" s="15"/>
      <c r="Q45" s="15"/>
      <c r="R45" s="104"/>
      <c r="S45" s="104"/>
      <c r="T45" s="15"/>
      <c r="U45" s="15"/>
      <c r="V45" s="104"/>
      <c r="W45" s="15"/>
      <c r="X45" s="147">
        <f>25+10+10+7+1+1</f>
        <v>54</v>
      </c>
      <c r="Y45" s="155">
        <f>SUM(Y39:Y44)</f>
        <v>21500</v>
      </c>
      <c r="Z45" s="163">
        <f>SUM(Z39:Z44)</f>
        <v>8400</v>
      </c>
      <c r="AA45" s="163">
        <f>SUM(AA39:AA44)</f>
        <v>10000</v>
      </c>
      <c r="AB45" s="161">
        <f>SUM(AB39:AB44)</f>
        <v>13</v>
      </c>
      <c r="AC45" s="225"/>
      <c r="AD45" s="155">
        <f>SUM(AD39:AD44)</f>
        <v>21500</v>
      </c>
      <c r="AE45" s="155">
        <f aca="true" t="shared" si="11" ref="AE45:AK45">SUM(AE39:AE44)</f>
        <v>1500</v>
      </c>
      <c r="AF45" s="155">
        <f t="shared" si="11"/>
        <v>8825</v>
      </c>
      <c r="AG45" s="155">
        <f t="shared" si="11"/>
        <v>8825</v>
      </c>
      <c r="AH45" s="237"/>
      <c r="AI45" s="155">
        <f t="shared" si="11"/>
        <v>11500</v>
      </c>
      <c r="AJ45" s="155">
        <f t="shared" si="11"/>
        <v>500</v>
      </c>
      <c r="AK45" s="155">
        <f t="shared" si="11"/>
        <v>500</v>
      </c>
      <c r="AL45" s="155">
        <f>SUM(AL39:AL44)</f>
        <v>500</v>
      </c>
      <c r="AM45" s="155"/>
      <c r="AN45" s="155"/>
      <c r="AO45" s="237"/>
      <c r="AP45" s="155">
        <f>SUM(AP39:AP44)</f>
        <v>0</v>
      </c>
      <c r="AQ45" s="155">
        <f>SUM(AQ39:AQ44)</f>
        <v>0</v>
      </c>
      <c r="AR45" s="155"/>
      <c r="AS45" s="155">
        <f>SUM(AS39:AS44)</f>
        <v>-750</v>
      </c>
      <c r="AT45" s="155"/>
      <c r="AU45" s="155"/>
      <c r="AV45" s="155"/>
      <c r="AW45" s="237"/>
      <c r="AX45" s="196">
        <f>SUM(AX39:AX44)</f>
        <v>5200</v>
      </c>
      <c r="AY45" s="166">
        <f>SUM(AY39:AY44)</f>
        <v>14</v>
      </c>
      <c r="AZ45" s="146">
        <f>AB45+AY45</f>
        <v>27</v>
      </c>
    </row>
    <row r="46" spans="1:49" ht="16.5" customHeight="1">
      <c r="A46" s="18" t="s">
        <v>50</v>
      </c>
      <c r="B46" s="19"/>
      <c r="C46" s="15"/>
      <c r="D46" s="15"/>
      <c r="E46" s="15"/>
      <c r="F46" s="15">
        <v>0</v>
      </c>
      <c r="G46" s="15"/>
      <c r="H46" s="15">
        <v>7000</v>
      </c>
      <c r="I46" s="163">
        <f>SUM(I39:I45)</f>
        <v>10050</v>
      </c>
      <c r="J46" s="163"/>
      <c r="K46" s="163">
        <f>SUM(K39:K45)</f>
        <v>15000</v>
      </c>
      <c r="L46" s="163">
        <f>SUM(L39:L45)</f>
        <v>10155</v>
      </c>
      <c r="M46" s="163">
        <f>SUM(M39:M45)</f>
        <v>1650</v>
      </c>
      <c r="N46" s="163">
        <f>SUM(N39:N45)</f>
        <v>10750</v>
      </c>
      <c r="O46" s="163"/>
      <c r="P46" s="163">
        <f aca="true" t="shared" si="12" ref="P46:U46">SUM(P39:P45)</f>
        <v>19000</v>
      </c>
      <c r="Q46" s="163">
        <f t="shared" si="12"/>
        <v>15000</v>
      </c>
      <c r="R46" s="163">
        <f t="shared" si="12"/>
        <v>8100</v>
      </c>
      <c r="S46" s="163">
        <f t="shared" si="12"/>
        <v>10155</v>
      </c>
      <c r="T46" s="163">
        <f t="shared" si="12"/>
        <v>15000</v>
      </c>
      <c r="U46" s="163">
        <f t="shared" si="12"/>
        <v>3250</v>
      </c>
      <c r="V46" s="163">
        <f>SUM(V39:V45)</f>
        <v>11000</v>
      </c>
      <c r="W46" s="163">
        <f>AA45</f>
        <v>10000</v>
      </c>
      <c r="X46" s="146">
        <v>27</v>
      </c>
      <c r="Y46" s="163">
        <f>AA45+AX45</f>
        <v>15200</v>
      </c>
      <c r="Z46" s="138"/>
      <c r="AD46" s="163"/>
      <c r="AE46" s="163"/>
      <c r="AF46" s="163"/>
      <c r="AG46" s="163"/>
      <c r="AH46" s="237"/>
      <c r="AI46" s="163"/>
      <c r="AJ46" s="163"/>
      <c r="AK46" s="163"/>
      <c r="AL46" s="163"/>
      <c r="AM46" s="163"/>
      <c r="AN46" s="163"/>
      <c r="AO46" s="237"/>
      <c r="AP46" s="163"/>
      <c r="AQ46" s="163"/>
      <c r="AR46" s="163"/>
      <c r="AS46" s="163"/>
      <c r="AT46" s="163"/>
      <c r="AU46" s="163"/>
      <c r="AV46" s="163"/>
      <c r="AW46" s="237"/>
    </row>
    <row r="47" spans="1:49" ht="16.5" customHeight="1">
      <c r="A47" s="2" t="s">
        <v>51</v>
      </c>
      <c r="B47" s="15"/>
      <c r="C47" s="15"/>
      <c r="D47" s="15"/>
      <c r="E47" s="15"/>
      <c r="F47" s="15"/>
      <c r="G47" s="15"/>
      <c r="H47" s="21"/>
      <c r="I47" s="21"/>
      <c r="J47" s="21"/>
      <c r="K47" s="15"/>
      <c r="L47" s="15"/>
      <c r="M47" s="15"/>
      <c r="N47" s="15"/>
      <c r="O47" s="15"/>
      <c r="P47" s="15"/>
      <c r="Q47" s="15"/>
      <c r="R47" s="104"/>
      <c r="S47" s="104"/>
      <c r="T47" s="104"/>
      <c r="U47" s="104"/>
      <c r="V47" s="104"/>
      <c r="W47" s="104"/>
      <c r="Y47" s="104"/>
      <c r="Z47" s="104"/>
      <c r="AA47" s="104"/>
      <c r="AD47" s="104"/>
      <c r="AE47" s="104"/>
      <c r="AF47" s="104"/>
      <c r="AG47" s="104"/>
      <c r="AH47" s="237"/>
      <c r="AI47" s="104"/>
      <c r="AJ47" s="104"/>
      <c r="AK47" s="104"/>
      <c r="AL47" s="104"/>
      <c r="AM47" s="104"/>
      <c r="AN47" s="104"/>
      <c r="AO47" s="237"/>
      <c r="AP47" s="104"/>
      <c r="AQ47" s="104"/>
      <c r="AR47" s="104"/>
      <c r="AS47" s="104"/>
      <c r="AT47" s="104"/>
      <c r="AU47" s="104"/>
      <c r="AV47" s="104"/>
      <c r="AW47" s="237"/>
    </row>
    <row r="48" spans="1:49" ht="18" customHeight="1">
      <c r="A48" s="2" t="s">
        <v>19</v>
      </c>
      <c r="B48" s="15"/>
      <c r="C48" s="15"/>
      <c r="D48" s="15"/>
      <c r="E48" s="15"/>
      <c r="F48" s="16">
        <v>0</v>
      </c>
      <c r="G48" s="16"/>
      <c r="H48" s="16">
        <v>0</v>
      </c>
      <c r="I48" s="16">
        <v>0</v>
      </c>
      <c r="J48" s="16"/>
      <c r="K48" s="16">
        <v>500</v>
      </c>
      <c r="L48" s="16">
        <v>190</v>
      </c>
      <c r="M48" s="16">
        <v>190</v>
      </c>
      <c r="N48" s="16">
        <v>250</v>
      </c>
      <c r="O48" s="16"/>
      <c r="P48" s="16">
        <v>1500</v>
      </c>
      <c r="Q48" s="16">
        <v>500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/>
      <c r="Y48" s="105">
        <v>1500</v>
      </c>
      <c r="Z48" s="105">
        <v>0</v>
      </c>
      <c r="AA48" s="105">
        <v>0</v>
      </c>
      <c r="AD48" s="105">
        <v>1500</v>
      </c>
      <c r="AE48" s="105">
        <v>1500</v>
      </c>
      <c r="AF48" s="105">
        <v>1500</v>
      </c>
      <c r="AG48" s="105">
        <v>1500</v>
      </c>
      <c r="AH48" s="236"/>
      <c r="AI48" s="105">
        <v>1500</v>
      </c>
      <c r="AJ48" s="105"/>
      <c r="AK48" s="105"/>
      <c r="AL48" s="105"/>
      <c r="AM48" s="105"/>
      <c r="AN48" s="105"/>
      <c r="AO48" s="236"/>
      <c r="AP48" s="105"/>
      <c r="AQ48" s="105"/>
      <c r="AR48" s="105"/>
      <c r="AS48" s="105"/>
      <c r="AT48" s="105"/>
      <c r="AU48" s="105"/>
      <c r="AV48" s="105"/>
      <c r="AW48" s="236"/>
    </row>
    <row r="49" spans="1:49" ht="13.5" customHeight="1">
      <c r="A49" s="2" t="s">
        <v>52</v>
      </c>
      <c r="B49" s="15"/>
      <c r="C49" s="15"/>
      <c r="D49" s="15"/>
      <c r="E49" s="15"/>
      <c r="F49" s="15"/>
      <c r="G49" s="15"/>
      <c r="H49" s="21"/>
      <c r="I49" s="21"/>
      <c r="J49" s="21"/>
      <c r="K49" s="16">
        <v>500</v>
      </c>
      <c r="L49" s="16"/>
      <c r="M49" s="16"/>
      <c r="N49" s="16"/>
      <c r="O49" s="16"/>
      <c r="P49" s="16">
        <v>500</v>
      </c>
      <c r="Q49" s="16">
        <v>250</v>
      </c>
      <c r="R49" s="105"/>
      <c r="S49" s="105"/>
      <c r="T49" s="105"/>
      <c r="U49" s="105">
        <v>0</v>
      </c>
      <c r="V49" s="105">
        <v>0</v>
      </c>
      <c r="W49" s="105"/>
      <c r="Y49" s="105"/>
      <c r="Z49" s="105"/>
      <c r="AA49" s="105"/>
      <c r="AD49" s="105"/>
      <c r="AE49" s="105"/>
      <c r="AF49" s="105"/>
      <c r="AG49" s="105"/>
      <c r="AH49" s="236"/>
      <c r="AI49" s="105"/>
      <c r="AJ49" s="105"/>
      <c r="AK49" s="105"/>
      <c r="AL49" s="105"/>
      <c r="AM49" s="105"/>
      <c r="AN49" s="105"/>
      <c r="AO49" s="236"/>
      <c r="AP49" s="105"/>
      <c r="AQ49" s="105"/>
      <c r="AR49" s="105"/>
      <c r="AS49" s="105"/>
      <c r="AT49" s="105"/>
      <c r="AU49" s="105"/>
      <c r="AV49" s="105"/>
      <c r="AW49" s="236"/>
    </row>
    <row r="50" spans="1:49" ht="15.75" customHeight="1">
      <c r="A50" s="2" t="s">
        <v>53</v>
      </c>
      <c r="B50" s="15"/>
      <c r="C50" s="15"/>
      <c r="D50" s="15"/>
      <c r="E50" s="15"/>
      <c r="F50" s="15"/>
      <c r="G50" s="15"/>
      <c r="H50" s="21"/>
      <c r="I50" s="21"/>
      <c r="J50" s="21"/>
      <c r="K50" s="15"/>
      <c r="L50" s="15"/>
      <c r="M50" s="15"/>
      <c r="N50" s="15"/>
      <c r="O50" s="15"/>
      <c r="P50" s="15"/>
      <c r="Q50" s="15"/>
      <c r="R50" s="104"/>
      <c r="S50" s="104"/>
      <c r="T50" s="104"/>
      <c r="U50" s="104">
        <v>0</v>
      </c>
      <c r="V50" s="104">
        <v>0</v>
      </c>
      <c r="W50" s="104"/>
      <c r="Y50" s="104"/>
      <c r="Z50" s="104"/>
      <c r="AA50" s="104"/>
      <c r="AD50" s="104"/>
      <c r="AE50" s="104"/>
      <c r="AF50" s="104"/>
      <c r="AG50" s="104"/>
      <c r="AH50" s="237"/>
      <c r="AI50" s="104"/>
      <c r="AJ50" s="104"/>
      <c r="AK50" s="104"/>
      <c r="AL50" s="105">
        <v>3745</v>
      </c>
      <c r="AM50" s="104"/>
      <c r="AN50" s="104"/>
      <c r="AO50" s="237"/>
      <c r="AP50" s="104"/>
      <c r="AQ50" s="104"/>
      <c r="AR50" s="104"/>
      <c r="AS50" s="104"/>
      <c r="AT50" s="104"/>
      <c r="AU50" s="104"/>
      <c r="AV50" s="104"/>
      <c r="AW50" s="237"/>
    </row>
    <row r="51" spans="1:49" ht="16.5" customHeight="1">
      <c r="A51" s="18" t="s">
        <v>54</v>
      </c>
      <c r="B51" s="15">
        <f>SUM(B48:B50)</f>
        <v>0</v>
      </c>
      <c r="C51" s="15"/>
      <c r="D51" s="15"/>
      <c r="E51" s="15"/>
      <c r="F51" s="15">
        <f>SUM(F48:F50)</f>
        <v>0</v>
      </c>
      <c r="G51" s="15"/>
      <c r="H51" s="15">
        <f>SUM(H48:H50)</f>
        <v>0</v>
      </c>
      <c r="I51" s="15">
        <f>SUM(I48:I50)</f>
        <v>0</v>
      </c>
      <c r="J51" s="15"/>
      <c r="K51" s="15">
        <f>SUM(K48:K50)</f>
        <v>1000</v>
      </c>
      <c r="L51" s="15">
        <f>SUM(L48:L50)</f>
        <v>190</v>
      </c>
      <c r="M51" s="15">
        <f>SUM(M48:M50)</f>
        <v>190</v>
      </c>
      <c r="N51" s="15">
        <f>SUM(N48:N50)</f>
        <v>250</v>
      </c>
      <c r="O51" s="15"/>
      <c r="P51" s="15">
        <f aca="true" t="shared" si="13" ref="P51:U51">SUM(P48:P50)</f>
        <v>2000</v>
      </c>
      <c r="Q51" s="15">
        <f t="shared" si="13"/>
        <v>750</v>
      </c>
      <c r="R51" s="15">
        <f t="shared" si="13"/>
        <v>0</v>
      </c>
      <c r="S51" s="15">
        <f t="shared" si="13"/>
        <v>0</v>
      </c>
      <c r="T51" s="15">
        <f t="shared" si="13"/>
        <v>0</v>
      </c>
      <c r="U51" s="15">
        <f t="shared" si="13"/>
        <v>0</v>
      </c>
      <c r="V51" s="15">
        <f>SUM(V48:V50)</f>
        <v>0</v>
      </c>
      <c r="W51" s="15"/>
      <c r="Y51" s="15">
        <f>SUM(Y48:Y50)</f>
        <v>1500</v>
      </c>
      <c r="Z51" s="15">
        <f>SUM(Z48:Z50)</f>
        <v>0</v>
      </c>
      <c r="AA51" s="15">
        <f>SUM(AA48:AA50)</f>
        <v>0</v>
      </c>
      <c r="AD51" s="15">
        <f>SUM(AD48:AD50)</f>
        <v>1500</v>
      </c>
      <c r="AE51" s="15">
        <v>0</v>
      </c>
      <c r="AF51" s="15">
        <v>0</v>
      </c>
      <c r="AG51" s="15">
        <v>0</v>
      </c>
      <c r="AH51" s="237"/>
      <c r="AI51" s="15">
        <f>SUM(AI48:AI50)</f>
        <v>1500</v>
      </c>
      <c r="AJ51" s="15">
        <v>0</v>
      </c>
      <c r="AK51" s="15">
        <v>0</v>
      </c>
      <c r="AL51" s="15">
        <f>SUM(AL48:AL50)</f>
        <v>3745</v>
      </c>
      <c r="AM51" s="15"/>
      <c r="AN51" s="15"/>
      <c r="AO51" s="237"/>
      <c r="AP51" s="15">
        <v>0</v>
      </c>
      <c r="AQ51" s="15">
        <v>0</v>
      </c>
      <c r="AR51" s="15"/>
      <c r="AS51" s="15"/>
      <c r="AT51" s="15"/>
      <c r="AU51" s="15"/>
      <c r="AV51" s="15"/>
      <c r="AW51" s="237"/>
    </row>
    <row r="52" spans="1:49" ht="15">
      <c r="A52" s="46" t="s">
        <v>55</v>
      </c>
      <c r="B52" s="47">
        <f>B46-B51</f>
        <v>0</v>
      </c>
      <c r="C52" s="47"/>
      <c r="D52" s="47"/>
      <c r="E52" s="47"/>
      <c r="F52" s="47">
        <f>F46-F51</f>
        <v>0</v>
      </c>
      <c r="G52" s="47"/>
      <c r="H52" s="47">
        <f>H46-H51</f>
        <v>7000</v>
      </c>
      <c r="I52" s="47">
        <f>I46-I51</f>
        <v>10050</v>
      </c>
      <c r="J52" s="47"/>
      <c r="K52" s="47">
        <f>K46-K51</f>
        <v>14000</v>
      </c>
      <c r="L52" s="47">
        <f>L46-L51</f>
        <v>9965</v>
      </c>
      <c r="M52" s="47">
        <f>M46-M51</f>
        <v>1460</v>
      </c>
      <c r="N52" s="47">
        <f>N46-N51</f>
        <v>10500</v>
      </c>
      <c r="O52" s="47"/>
      <c r="P52" s="47">
        <f aca="true" t="shared" si="14" ref="P52:U52">P46-P51</f>
        <v>17000</v>
      </c>
      <c r="Q52" s="47">
        <f t="shared" si="14"/>
        <v>14250</v>
      </c>
      <c r="R52" s="47">
        <f t="shared" si="14"/>
        <v>8100</v>
      </c>
      <c r="S52" s="47">
        <f t="shared" si="14"/>
        <v>10155</v>
      </c>
      <c r="T52" s="47">
        <f t="shared" si="14"/>
        <v>15000</v>
      </c>
      <c r="U52" s="47">
        <f t="shared" si="14"/>
        <v>3250</v>
      </c>
      <c r="V52" s="47">
        <f>V46-V51</f>
        <v>11000</v>
      </c>
      <c r="W52" s="47">
        <f>W46-W51</f>
        <v>10000</v>
      </c>
      <c r="Y52" s="149">
        <f>Y45-Y51</f>
        <v>20000</v>
      </c>
      <c r="Z52" s="149">
        <f>Z45-Z51</f>
        <v>8400</v>
      </c>
      <c r="AA52" s="149">
        <f>AA45-AA51</f>
        <v>10000</v>
      </c>
      <c r="AB52" s="156">
        <f>Y52</f>
        <v>20000</v>
      </c>
      <c r="AC52" s="210"/>
      <c r="AD52" s="149">
        <v>15000</v>
      </c>
      <c r="AE52" s="149">
        <f aca="true" t="shared" si="15" ref="AE52:AK52">AE45-AE51</f>
        <v>1500</v>
      </c>
      <c r="AF52" s="149">
        <f t="shared" si="15"/>
        <v>8825</v>
      </c>
      <c r="AG52" s="149">
        <f t="shared" si="15"/>
        <v>8825</v>
      </c>
      <c r="AH52" s="239"/>
      <c r="AI52" s="149">
        <f t="shared" si="15"/>
        <v>10000</v>
      </c>
      <c r="AJ52" s="149">
        <f t="shared" si="15"/>
        <v>500</v>
      </c>
      <c r="AK52" s="149">
        <f t="shared" si="15"/>
        <v>500</v>
      </c>
      <c r="AL52" s="149">
        <f>AL45-AL51</f>
        <v>-3245</v>
      </c>
      <c r="AM52" s="149"/>
      <c r="AN52" s="149"/>
      <c r="AO52" s="239"/>
      <c r="AP52" s="149">
        <f>AP45-AP51</f>
        <v>0</v>
      </c>
      <c r="AQ52" s="149">
        <f>AQ45-AQ51</f>
        <v>0</v>
      </c>
      <c r="AR52" s="149"/>
      <c r="AS52" s="149">
        <f>AS45-AS51</f>
        <v>-750</v>
      </c>
      <c r="AT52" s="149"/>
      <c r="AU52" s="149"/>
      <c r="AV52" s="149"/>
      <c r="AW52" s="239"/>
    </row>
    <row r="53" spans="1:53" s="40" customFormat="1" ht="15">
      <c r="A53" s="39"/>
      <c r="B53" s="15"/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15"/>
      <c r="N53" s="15"/>
      <c r="O53" s="15"/>
      <c r="P53" s="15"/>
      <c r="Q53" s="15"/>
      <c r="R53" s="104"/>
      <c r="S53" s="104"/>
      <c r="T53" s="15"/>
      <c r="U53" s="15"/>
      <c r="V53" s="104"/>
      <c r="W53" s="15"/>
      <c r="Y53" s="15"/>
      <c r="Z53" s="199"/>
      <c r="AA53" s="116"/>
      <c r="AB53" s="116"/>
      <c r="AC53" s="116"/>
      <c r="AD53" s="116"/>
      <c r="AE53" s="116"/>
      <c r="AF53" s="256">
        <f>AF52-AD52</f>
        <v>-6175</v>
      </c>
      <c r="AG53" s="256">
        <f>AG52-AD52</f>
        <v>-6175</v>
      </c>
      <c r="AH53" s="189"/>
      <c r="AI53" s="116"/>
      <c r="AJ53" s="116"/>
      <c r="AK53" s="116"/>
      <c r="AL53" s="116"/>
      <c r="AM53" s="116"/>
      <c r="AN53" s="116"/>
      <c r="AO53" s="189"/>
      <c r="AP53" s="116"/>
      <c r="AQ53" s="116"/>
      <c r="AR53" s="116"/>
      <c r="AS53" s="116"/>
      <c r="AT53" s="116"/>
      <c r="AU53" s="116"/>
      <c r="AV53" s="116"/>
      <c r="AW53" s="189"/>
      <c r="AX53" s="116"/>
      <c r="AY53" s="116"/>
      <c r="BA53" s="116"/>
    </row>
    <row r="54" spans="1:33" ht="15">
      <c r="A54" s="48" t="s">
        <v>56</v>
      </c>
      <c r="B54" s="15"/>
      <c r="C54" s="15"/>
      <c r="D54" s="15"/>
      <c r="E54" s="15"/>
      <c r="F54" s="15"/>
      <c r="G54" s="15"/>
      <c r="H54" s="21"/>
      <c r="I54" s="14"/>
      <c r="J54" s="14"/>
      <c r="K54" s="15"/>
      <c r="L54" s="15"/>
      <c r="M54" s="15"/>
      <c r="N54" s="15"/>
      <c r="O54" s="15"/>
      <c r="P54" s="15"/>
      <c r="Q54" s="15"/>
      <c r="R54" s="104"/>
      <c r="S54" s="104"/>
      <c r="T54" s="15"/>
      <c r="U54" s="15"/>
      <c r="V54" s="104"/>
      <c r="W54" s="15"/>
      <c r="Y54" s="15"/>
      <c r="Z54" s="199"/>
      <c r="AF54" s="257" t="s">
        <v>244</v>
      </c>
      <c r="AG54" s="257" t="s">
        <v>244</v>
      </c>
    </row>
    <row r="55" spans="1:49" ht="15">
      <c r="A55" s="2" t="s">
        <v>221</v>
      </c>
      <c r="B55" s="22">
        <v>20</v>
      </c>
      <c r="C55" s="22"/>
      <c r="D55" s="16"/>
      <c r="E55" s="16"/>
      <c r="F55" s="22">
        <v>30</v>
      </c>
      <c r="G55" s="21"/>
      <c r="H55" s="16">
        <v>50</v>
      </c>
      <c r="I55" s="16">
        <v>25</v>
      </c>
      <c r="J55" s="16"/>
      <c r="K55" s="16">
        <v>25</v>
      </c>
      <c r="L55" s="16"/>
      <c r="M55" s="16"/>
      <c r="N55" s="16"/>
      <c r="O55" s="16"/>
      <c r="P55" s="16">
        <v>25</v>
      </c>
      <c r="Q55" s="16">
        <v>25</v>
      </c>
      <c r="R55" s="105"/>
      <c r="S55" s="105"/>
      <c r="T55" s="16">
        <v>25</v>
      </c>
      <c r="U55" s="16">
        <v>0</v>
      </c>
      <c r="V55" s="105">
        <v>300</v>
      </c>
      <c r="W55" s="16">
        <v>300</v>
      </c>
      <c r="Y55" s="16">
        <v>25</v>
      </c>
      <c r="Z55" s="105">
        <v>2855</v>
      </c>
      <c r="AA55" s="16">
        <v>1000</v>
      </c>
      <c r="AD55" s="16">
        <v>1000</v>
      </c>
      <c r="AE55" s="16">
        <v>0</v>
      </c>
      <c r="AF55" s="16"/>
      <c r="AG55" s="16"/>
      <c r="AH55" s="236"/>
      <c r="AI55" s="16">
        <v>1000</v>
      </c>
      <c r="AJ55" s="16"/>
      <c r="AK55" s="16"/>
      <c r="AL55" s="16"/>
      <c r="AM55" s="16"/>
      <c r="AN55" s="16"/>
      <c r="AO55" s="236"/>
      <c r="AP55" s="16"/>
      <c r="AQ55" s="16"/>
      <c r="AR55" s="16"/>
      <c r="AS55" s="16"/>
      <c r="AT55" s="16"/>
      <c r="AU55" s="16"/>
      <c r="AV55" s="16"/>
      <c r="AW55" s="236"/>
    </row>
    <row r="56" spans="1:49" ht="15">
      <c r="A56" s="5" t="s">
        <v>267</v>
      </c>
      <c r="B56" s="15"/>
      <c r="C56" s="15"/>
      <c r="D56" s="15"/>
      <c r="E56" s="15"/>
      <c r="F56" s="16">
        <v>5000</v>
      </c>
      <c r="G56" s="15"/>
      <c r="H56" s="22">
        <v>3000</v>
      </c>
      <c r="I56" s="16">
        <v>125</v>
      </c>
      <c r="J56" s="16"/>
      <c r="K56" s="16">
        <v>0</v>
      </c>
      <c r="L56" s="16"/>
      <c r="M56" s="16"/>
      <c r="N56" s="16"/>
      <c r="O56" s="16"/>
      <c r="P56" s="16">
        <v>0</v>
      </c>
      <c r="Q56" s="16">
        <v>0</v>
      </c>
      <c r="R56" s="105"/>
      <c r="S56" s="105"/>
      <c r="T56" s="16">
        <v>0</v>
      </c>
      <c r="U56" s="16">
        <v>0</v>
      </c>
      <c r="V56" s="105">
        <v>0</v>
      </c>
      <c r="W56" s="16"/>
      <c r="X56" s="141" t="s">
        <v>209</v>
      </c>
      <c r="Y56" s="187">
        <v>5000</v>
      </c>
      <c r="Z56" s="187">
        <v>1855</v>
      </c>
      <c r="AA56" s="215">
        <v>3700</v>
      </c>
      <c r="AD56" s="187">
        <v>3700</v>
      </c>
      <c r="AE56" s="187">
        <v>0</v>
      </c>
      <c r="AF56" s="187">
        <v>1000</v>
      </c>
      <c r="AG56" s="187">
        <v>1176</v>
      </c>
      <c r="AH56" s="236"/>
      <c r="AI56" s="187">
        <v>2500</v>
      </c>
      <c r="AJ56" s="187"/>
      <c r="AK56" s="187">
        <v>2200</v>
      </c>
      <c r="AL56" s="187">
        <v>1096</v>
      </c>
      <c r="AM56" s="187"/>
      <c r="AN56" s="187"/>
      <c r="AO56" s="236"/>
      <c r="AP56" s="187">
        <v>0</v>
      </c>
      <c r="AQ56" s="187">
        <v>1100</v>
      </c>
      <c r="AR56" s="187">
        <v>0</v>
      </c>
      <c r="AS56" s="187">
        <v>0</v>
      </c>
      <c r="AT56" s="187">
        <v>1115</v>
      </c>
      <c r="AU56" s="187">
        <v>1100</v>
      </c>
      <c r="AV56" s="187"/>
      <c r="AW56" s="236"/>
    </row>
    <row r="57" spans="1:49" ht="15">
      <c r="A57" s="5" t="s">
        <v>268</v>
      </c>
      <c r="B57" s="22">
        <v>0</v>
      </c>
      <c r="C57" s="22"/>
      <c r="D57" s="16"/>
      <c r="E57" s="16"/>
      <c r="F57" s="16">
        <v>6513</v>
      </c>
      <c r="G57" s="21"/>
      <c r="H57" s="16">
        <v>6454</v>
      </c>
      <c r="I57" s="172">
        <v>6309</v>
      </c>
      <c r="J57" s="172"/>
      <c r="K57" s="176">
        <v>6500</v>
      </c>
      <c r="L57" s="172">
        <v>5611</v>
      </c>
      <c r="M57" s="172">
        <v>5611</v>
      </c>
      <c r="N57" s="172">
        <v>5611</v>
      </c>
      <c r="O57" s="172"/>
      <c r="P57" s="176">
        <v>6500</v>
      </c>
      <c r="Q57" s="176">
        <v>6500</v>
      </c>
      <c r="R57" s="176">
        <v>6721</v>
      </c>
      <c r="S57" s="176">
        <v>6721</v>
      </c>
      <c r="T57" s="176">
        <v>4175</v>
      </c>
      <c r="U57" s="172">
        <v>4178</v>
      </c>
      <c r="V57" s="172">
        <v>4178</v>
      </c>
      <c r="W57" s="172">
        <v>4178</v>
      </c>
      <c r="X57" s="141" t="s">
        <v>252</v>
      </c>
      <c r="Y57" s="176">
        <v>0</v>
      </c>
      <c r="Z57" s="176">
        <v>0</v>
      </c>
      <c r="AA57" s="176">
        <v>0</v>
      </c>
      <c r="AB57" s="177">
        <f>Y57</f>
        <v>0</v>
      </c>
      <c r="AC57" s="210"/>
      <c r="AD57" s="258">
        <v>0</v>
      </c>
      <c r="AE57" s="258">
        <v>0</v>
      </c>
      <c r="AF57" s="258">
        <v>0</v>
      </c>
      <c r="AG57" s="187">
        <v>1175</v>
      </c>
      <c r="AH57" s="240"/>
      <c r="AI57" s="258">
        <v>4000</v>
      </c>
      <c r="AJ57" s="258">
        <v>4925</v>
      </c>
      <c r="AK57" s="258">
        <v>4925</v>
      </c>
      <c r="AL57" s="258">
        <v>4925</v>
      </c>
      <c r="AM57" s="258"/>
      <c r="AN57" s="187"/>
      <c r="AO57" s="240"/>
      <c r="AP57" s="271">
        <v>3200</v>
      </c>
      <c r="AQ57" s="258">
        <v>3500</v>
      </c>
      <c r="AR57" s="258">
        <v>2950</v>
      </c>
      <c r="AS57" s="258">
        <v>2950</v>
      </c>
      <c r="AT57" s="258">
        <v>2950</v>
      </c>
      <c r="AU57" s="258">
        <v>3000</v>
      </c>
      <c r="AV57" s="258">
        <v>3310</v>
      </c>
      <c r="AW57" s="240"/>
    </row>
    <row r="58" spans="1:49" ht="15">
      <c r="A58" s="2" t="s">
        <v>57</v>
      </c>
      <c r="B58" s="15"/>
      <c r="C58" s="15"/>
      <c r="D58" s="15"/>
      <c r="E58" s="15"/>
      <c r="F58" s="15"/>
      <c r="G58" s="15"/>
      <c r="H58" s="50" t="s">
        <v>58</v>
      </c>
      <c r="I58" s="14"/>
      <c r="J58" s="14"/>
      <c r="K58" s="16"/>
      <c r="L58" s="16"/>
      <c r="M58" s="16"/>
      <c r="N58" s="16"/>
      <c r="O58" s="16"/>
      <c r="P58" s="16"/>
      <c r="Q58" s="16"/>
      <c r="R58" s="105"/>
      <c r="S58" s="105"/>
      <c r="T58" s="16"/>
      <c r="U58" s="16"/>
      <c r="V58" s="105"/>
      <c r="W58" s="16"/>
      <c r="Y58" s="16"/>
      <c r="Z58" s="105"/>
      <c r="AA58" s="16"/>
      <c r="AD58" s="16"/>
      <c r="AE58" s="16">
        <v>0</v>
      </c>
      <c r="AF58" s="16"/>
      <c r="AG58" s="16"/>
      <c r="AH58" s="236"/>
      <c r="AI58" s="16"/>
      <c r="AJ58" s="16"/>
      <c r="AK58" s="16"/>
      <c r="AL58" s="16"/>
      <c r="AM58" s="16"/>
      <c r="AN58" s="16"/>
      <c r="AO58" s="236"/>
      <c r="AP58" s="16"/>
      <c r="AQ58" s="16"/>
      <c r="AR58" s="16"/>
      <c r="AS58" s="16"/>
      <c r="AT58" s="16"/>
      <c r="AU58" s="16"/>
      <c r="AV58" s="16"/>
      <c r="AW58" s="236"/>
    </row>
    <row r="59" spans="1:49" ht="15">
      <c r="A59" s="5" t="s">
        <v>59</v>
      </c>
      <c r="B59" s="22">
        <v>1050</v>
      </c>
      <c r="C59" s="22"/>
      <c r="D59" s="16"/>
      <c r="E59" s="16"/>
      <c r="F59" s="16">
        <v>1000</v>
      </c>
      <c r="G59" s="21"/>
      <c r="H59" s="16">
        <v>1000</v>
      </c>
      <c r="I59" s="16">
        <v>1000</v>
      </c>
      <c r="J59" s="16"/>
      <c r="K59" s="16">
        <v>1000</v>
      </c>
      <c r="L59" s="16">
        <v>1000</v>
      </c>
      <c r="M59" s="16"/>
      <c r="N59" s="16">
        <v>1000</v>
      </c>
      <c r="O59" s="17" t="s">
        <v>147</v>
      </c>
      <c r="P59" s="16">
        <v>1000</v>
      </c>
      <c r="Q59" s="16">
        <v>1000</v>
      </c>
      <c r="R59" s="105"/>
      <c r="S59" s="105">
        <v>1000</v>
      </c>
      <c r="T59" s="16">
        <v>1000</v>
      </c>
      <c r="U59" s="16">
        <v>0</v>
      </c>
      <c r="V59" s="169">
        <v>1000</v>
      </c>
      <c r="W59" s="16">
        <v>1000</v>
      </c>
      <c r="Y59" s="16">
        <v>1000</v>
      </c>
      <c r="Z59" s="105">
        <v>1000</v>
      </c>
      <c r="AA59" s="16">
        <v>1000</v>
      </c>
      <c r="AD59" s="16">
        <v>1000</v>
      </c>
      <c r="AE59" s="16">
        <v>0</v>
      </c>
      <c r="AF59" s="16">
        <v>0</v>
      </c>
      <c r="AG59" s="16">
        <v>0</v>
      </c>
      <c r="AH59" s="236"/>
      <c r="AI59" s="16">
        <v>1000</v>
      </c>
      <c r="AJ59" s="16"/>
      <c r="AK59" s="16">
        <v>1000</v>
      </c>
      <c r="AL59" s="16">
        <v>1000</v>
      </c>
      <c r="AM59" s="16"/>
      <c r="AN59" s="16"/>
      <c r="AO59" s="236"/>
      <c r="AP59" s="16">
        <v>0</v>
      </c>
      <c r="AQ59" s="16">
        <v>1000</v>
      </c>
      <c r="AR59" s="16">
        <v>0</v>
      </c>
      <c r="AS59" s="16"/>
      <c r="AT59" s="16">
        <v>0</v>
      </c>
      <c r="AU59" s="16">
        <v>0</v>
      </c>
      <c r="AV59" s="16"/>
      <c r="AW59" s="236"/>
    </row>
    <row r="60" spans="1:49" ht="15">
      <c r="A60" s="5" t="s">
        <v>199</v>
      </c>
      <c r="B60" s="15"/>
      <c r="C60" s="15"/>
      <c r="D60" s="15"/>
      <c r="E60" s="15"/>
      <c r="F60" s="16">
        <v>85000</v>
      </c>
      <c r="G60" s="15"/>
      <c r="H60" s="21"/>
      <c r="I60" s="49">
        <v>10060</v>
      </c>
      <c r="J60" s="49"/>
      <c r="K60" s="16">
        <v>0</v>
      </c>
      <c r="L60" s="16"/>
      <c r="M60" s="16"/>
      <c r="N60" s="16"/>
      <c r="O60" s="16"/>
      <c r="P60" s="16">
        <v>0</v>
      </c>
      <c r="Q60" s="16">
        <v>0</v>
      </c>
      <c r="R60" s="105"/>
      <c r="S60" s="105"/>
      <c r="T60" s="16">
        <v>0</v>
      </c>
      <c r="U60" s="16">
        <v>0</v>
      </c>
      <c r="V60" s="105">
        <v>0</v>
      </c>
      <c r="W60" s="16">
        <v>0</v>
      </c>
      <c r="Y60" s="16">
        <v>0</v>
      </c>
      <c r="Z60" s="105">
        <v>0</v>
      </c>
      <c r="AA60" s="16">
        <v>0</v>
      </c>
      <c r="AD60" s="16">
        <v>0</v>
      </c>
      <c r="AE60" s="16">
        <v>0</v>
      </c>
      <c r="AF60" s="16">
        <v>0</v>
      </c>
      <c r="AG60" s="16">
        <v>0</v>
      </c>
      <c r="AH60" s="236"/>
      <c r="AI60" s="16">
        <v>0</v>
      </c>
      <c r="AJ60" s="16"/>
      <c r="AK60" s="16"/>
      <c r="AL60" s="16"/>
      <c r="AM60" s="16"/>
      <c r="AN60" s="16"/>
      <c r="AO60" s="236"/>
      <c r="AP60" s="16"/>
      <c r="AQ60" s="16"/>
      <c r="AR60" s="16"/>
      <c r="AS60" s="16"/>
      <c r="AT60" s="16"/>
      <c r="AU60" s="16"/>
      <c r="AV60" s="16"/>
      <c r="AW60" s="236"/>
    </row>
    <row r="61" spans="1:49" ht="15">
      <c r="A61" s="2" t="s">
        <v>60</v>
      </c>
      <c r="B61" s="22">
        <v>1900</v>
      </c>
      <c r="C61" s="22"/>
      <c r="D61" s="16"/>
      <c r="E61" s="16"/>
      <c r="F61" s="22">
        <v>325</v>
      </c>
      <c r="G61" s="21"/>
      <c r="H61" s="16">
        <v>500</v>
      </c>
      <c r="I61" s="16">
        <v>1000</v>
      </c>
      <c r="J61" s="16"/>
      <c r="K61" s="16">
        <v>500</v>
      </c>
      <c r="L61" s="16">
        <v>1100</v>
      </c>
      <c r="M61" s="16">
        <v>1100</v>
      </c>
      <c r="N61" s="16">
        <v>1100</v>
      </c>
      <c r="O61" s="16"/>
      <c r="P61" s="16">
        <v>500</v>
      </c>
      <c r="Q61" s="16">
        <v>500</v>
      </c>
      <c r="R61" s="105">
        <v>1000</v>
      </c>
      <c r="S61" s="105">
        <v>1000</v>
      </c>
      <c r="T61" s="16">
        <v>500</v>
      </c>
      <c r="U61" s="16">
        <v>0</v>
      </c>
      <c r="V61" s="105">
        <v>1000</v>
      </c>
      <c r="W61" s="16">
        <v>1000</v>
      </c>
      <c r="Y61" s="16">
        <v>500</v>
      </c>
      <c r="Z61" s="105">
        <v>0</v>
      </c>
      <c r="AA61" s="16">
        <v>0</v>
      </c>
      <c r="AD61" s="16">
        <v>0</v>
      </c>
      <c r="AE61" s="16">
        <v>500</v>
      </c>
      <c r="AF61" s="16">
        <v>500</v>
      </c>
      <c r="AG61" s="16">
        <v>500</v>
      </c>
      <c r="AH61" s="236"/>
      <c r="AI61" s="16">
        <v>0</v>
      </c>
      <c r="AJ61" s="16"/>
      <c r="AK61" s="16"/>
      <c r="AL61" s="16"/>
      <c r="AM61" s="16"/>
      <c r="AN61" s="16"/>
      <c r="AO61" s="236"/>
      <c r="AP61" s="16"/>
      <c r="AQ61" s="16"/>
      <c r="AR61" s="16">
        <v>3991</v>
      </c>
      <c r="AS61" s="16">
        <v>4341</v>
      </c>
      <c r="AT61" s="16">
        <v>3991</v>
      </c>
      <c r="AU61" s="16">
        <v>0</v>
      </c>
      <c r="AV61" s="16">
        <v>1200</v>
      </c>
      <c r="AW61" s="236"/>
    </row>
    <row r="62" spans="1:49" ht="15">
      <c r="A62" s="5" t="s">
        <v>61</v>
      </c>
      <c r="B62" s="16">
        <v>180.14</v>
      </c>
      <c r="C62" s="16"/>
      <c r="D62" s="16"/>
      <c r="E62" s="16"/>
      <c r="F62" s="16">
        <v>737.63</v>
      </c>
      <c r="G62" s="16"/>
      <c r="H62" s="22">
        <v>260</v>
      </c>
      <c r="I62" s="36">
        <v>285</v>
      </c>
      <c r="J62" s="36"/>
      <c r="K62" s="16">
        <v>250</v>
      </c>
      <c r="L62" s="16">
        <v>204</v>
      </c>
      <c r="M62" s="16">
        <v>188</v>
      </c>
      <c r="N62" s="16">
        <v>200</v>
      </c>
      <c r="O62" s="16"/>
      <c r="P62" s="16">
        <v>250</v>
      </c>
      <c r="Q62" s="16">
        <v>250</v>
      </c>
      <c r="R62" s="105">
        <v>173</v>
      </c>
      <c r="S62" s="105">
        <v>175</v>
      </c>
      <c r="T62" s="16">
        <v>250</v>
      </c>
      <c r="U62" s="16">
        <v>88</v>
      </c>
      <c r="V62" s="105">
        <v>118</v>
      </c>
      <c r="W62" s="16">
        <v>108</v>
      </c>
      <c r="Y62" s="16">
        <v>200</v>
      </c>
      <c r="Z62" s="105">
        <v>99.26</v>
      </c>
      <c r="AA62" s="16">
        <v>100</v>
      </c>
      <c r="AD62" s="16">
        <v>100</v>
      </c>
      <c r="AE62" s="16">
        <v>89</v>
      </c>
      <c r="AF62" s="16">
        <v>188</v>
      </c>
      <c r="AG62" s="16">
        <v>188</v>
      </c>
      <c r="AH62" s="236"/>
      <c r="AI62" s="16">
        <v>100</v>
      </c>
      <c r="AJ62" s="16">
        <v>135</v>
      </c>
      <c r="AK62" s="16">
        <v>150</v>
      </c>
      <c r="AL62" s="16">
        <v>160</v>
      </c>
      <c r="AM62" s="16"/>
      <c r="AN62" s="16">
        <v>8</v>
      </c>
      <c r="AO62" s="236"/>
      <c r="AP62" s="16">
        <v>25</v>
      </c>
      <c r="AQ62" s="16">
        <v>150</v>
      </c>
      <c r="AR62" s="16">
        <v>474</v>
      </c>
      <c r="AS62" s="16">
        <v>636</v>
      </c>
      <c r="AT62" s="16">
        <v>630</v>
      </c>
      <c r="AU62" s="16"/>
      <c r="AV62" s="16">
        <v>227</v>
      </c>
      <c r="AW62" s="236"/>
    </row>
    <row r="63" spans="1:49" ht="15">
      <c r="A63" s="51" t="s">
        <v>62</v>
      </c>
      <c r="B63" s="16"/>
      <c r="C63" s="15"/>
      <c r="D63" s="15"/>
      <c r="E63" s="15"/>
      <c r="F63" s="16">
        <v>4516.31</v>
      </c>
      <c r="G63" s="15"/>
      <c r="H63" s="21"/>
      <c r="I63" s="36">
        <v>9</v>
      </c>
      <c r="J63" s="14"/>
      <c r="K63" s="16"/>
      <c r="L63" s="16">
        <v>66</v>
      </c>
      <c r="M63" s="16">
        <v>66</v>
      </c>
      <c r="N63" s="16">
        <v>66</v>
      </c>
      <c r="O63" s="16"/>
      <c r="P63" s="16"/>
      <c r="Q63" s="16"/>
      <c r="R63" s="105">
        <v>95</v>
      </c>
      <c r="S63" s="105">
        <v>110</v>
      </c>
      <c r="T63" s="16"/>
      <c r="U63" s="16">
        <v>10</v>
      </c>
      <c r="V63" s="105">
        <v>15</v>
      </c>
      <c r="W63" s="16">
        <v>10</v>
      </c>
      <c r="Y63" s="16"/>
      <c r="Z63" s="105">
        <v>20</v>
      </c>
      <c r="AA63" s="16">
        <v>20</v>
      </c>
      <c r="AD63" s="16">
        <v>20</v>
      </c>
      <c r="AE63" s="16">
        <v>405</v>
      </c>
      <c r="AF63" s="16">
        <v>604</v>
      </c>
      <c r="AG63" s="16">
        <v>429</v>
      </c>
      <c r="AH63" s="236"/>
      <c r="AI63" s="16">
        <v>20</v>
      </c>
      <c r="AJ63" s="16">
        <v>17</v>
      </c>
      <c r="AK63" s="16">
        <v>50</v>
      </c>
      <c r="AL63" s="16">
        <v>82</v>
      </c>
      <c r="AM63" s="16"/>
      <c r="AN63" s="16">
        <v>10</v>
      </c>
      <c r="AO63" s="236"/>
      <c r="AP63" s="16">
        <v>20</v>
      </c>
      <c r="AQ63" s="16">
        <v>50</v>
      </c>
      <c r="AR63" s="16">
        <v>5</v>
      </c>
      <c r="AS63" s="16">
        <v>1120</v>
      </c>
      <c r="AT63" s="16">
        <v>10</v>
      </c>
      <c r="AU63" s="16">
        <v>50</v>
      </c>
      <c r="AV63" s="16">
        <v>0</v>
      </c>
      <c r="AW63" s="236"/>
    </row>
    <row r="64" spans="1:53" s="40" customFormat="1" ht="15">
      <c r="A64" s="52" t="s">
        <v>63</v>
      </c>
      <c r="B64" s="53">
        <f>SUM(B55:B63)</f>
        <v>3150.14</v>
      </c>
      <c r="C64" s="53"/>
      <c r="D64" s="53"/>
      <c r="E64" s="53"/>
      <c r="F64" s="53">
        <f>SUM(F55:F63)</f>
        <v>103121.94</v>
      </c>
      <c r="G64" s="53"/>
      <c r="H64" s="53">
        <f>SUM(H55:H63)</f>
        <v>11264</v>
      </c>
      <c r="I64" s="53">
        <f>SUM(I55:I63)</f>
        <v>18813</v>
      </c>
      <c r="J64" s="53"/>
      <c r="K64" s="53">
        <f>SUM(K55:K63)</f>
        <v>8275</v>
      </c>
      <c r="L64" s="53">
        <f>SUM(L55:L63)</f>
        <v>7981</v>
      </c>
      <c r="M64" s="53">
        <f>SUM(M55:M63)</f>
        <v>6965</v>
      </c>
      <c r="N64" s="53">
        <f>SUM(N55:N63)</f>
        <v>7977</v>
      </c>
      <c r="O64" s="53"/>
      <c r="P64" s="53">
        <f>P55+P56+P57+P59+P60+P61+P62</f>
        <v>8275</v>
      </c>
      <c r="Q64" s="53">
        <f>Q55+Q56+Q57+Q59+Q60+Q61+Q62</f>
        <v>8275</v>
      </c>
      <c r="R64" s="53">
        <f>R55+R56+R57+R59+R60+R61+R62+R63</f>
        <v>7989</v>
      </c>
      <c r="S64" s="53">
        <f>S55+S56+S57+S59+S60+S61+S62+S63</f>
        <v>9006</v>
      </c>
      <c r="T64" s="53">
        <f>T55+T56+T57+T59+T60+T61+T62</f>
        <v>5950</v>
      </c>
      <c r="U64" s="53">
        <f>U55+U56+U57+U59+U60+U61+U62+U63</f>
        <v>4276</v>
      </c>
      <c r="V64" s="53">
        <f>V55+V56+V57+V59+V60+V61+V62+V63</f>
        <v>6611</v>
      </c>
      <c r="W64" s="193">
        <f>W55+W56+W57+W59+W60+W61+W62</f>
        <v>6586</v>
      </c>
      <c r="Y64" s="179">
        <f>Y55+Y56+Y57+Y59+Y60+Y61+Y62</f>
        <v>6725</v>
      </c>
      <c r="Z64" s="179">
        <f>SUM(Z55:Z63)</f>
        <v>5829.26</v>
      </c>
      <c r="AA64" s="179">
        <f>SUM(AA55:AA63)</f>
        <v>5820</v>
      </c>
      <c r="AB64" s="180">
        <f>Y64</f>
        <v>6725</v>
      </c>
      <c r="AC64" s="210"/>
      <c r="AD64" s="179">
        <f aca="true" t="shared" si="16" ref="AD64:AJ64">SUM(AD55:AD63)</f>
        <v>5820</v>
      </c>
      <c r="AE64" s="179">
        <f t="shared" si="16"/>
        <v>994</v>
      </c>
      <c r="AF64" s="179">
        <f t="shared" si="16"/>
        <v>2292</v>
      </c>
      <c r="AG64" s="179">
        <f t="shared" si="16"/>
        <v>3468</v>
      </c>
      <c r="AH64" s="241"/>
      <c r="AI64" s="179">
        <f t="shared" si="16"/>
        <v>8620</v>
      </c>
      <c r="AJ64" s="179">
        <f t="shared" si="16"/>
        <v>5077</v>
      </c>
      <c r="AK64" s="179">
        <f>SUM(AK55:AK63)</f>
        <v>8325</v>
      </c>
      <c r="AL64" s="179">
        <f>SUM(AL55:AL63)</f>
        <v>7263</v>
      </c>
      <c r="AM64" s="179"/>
      <c r="AN64" s="179">
        <f>SUM(AN55:AN63)</f>
        <v>18</v>
      </c>
      <c r="AO64" s="241"/>
      <c r="AP64" s="179">
        <f aca="true" t="shared" si="17" ref="AP64:AU64">SUM(AP55:AP63)</f>
        <v>3245</v>
      </c>
      <c r="AQ64" s="179">
        <f t="shared" si="17"/>
        <v>5800</v>
      </c>
      <c r="AR64" s="179">
        <f t="shared" si="17"/>
        <v>7420</v>
      </c>
      <c r="AS64" s="179">
        <f t="shared" si="17"/>
        <v>9047</v>
      </c>
      <c r="AT64" s="179">
        <f t="shared" si="17"/>
        <v>8696</v>
      </c>
      <c r="AU64" s="179">
        <f t="shared" si="17"/>
        <v>4150</v>
      </c>
      <c r="AV64" s="179">
        <f>SUM(AV55:AV63)</f>
        <v>4737</v>
      </c>
      <c r="AW64" s="241"/>
      <c r="AX64" s="116"/>
      <c r="AY64" s="116"/>
      <c r="BA64" s="116"/>
    </row>
    <row r="65" spans="1:49" ht="15">
      <c r="A65" s="18" t="s">
        <v>64</v>
      </c>
      <c r="B65" s="15"/>
      <c r="C65" s="15"/>
      <c r="D65" s="15"/>
      <c r="E65" s="15"/>
      <c r="F65" s="54">
        <f>F64-F60</f>
        <v>18121.940000000002</v>
      </c>
      <c r="G65" s="15"/>
      <c r="H65" s="15"/>
      <c r="I65" s="170">
        <f>I64-I60</f>
        <v>8753</v>
      </c>
      <c r="J65" s="16"/>
      <c r="K65" s="15"/>
      <c r="L65" s="15"/>
      <c r="M65" s="15"/>
      <c r="N65" s="15"/>
      <c r="O65" s="15"/>
      <c r="P65" s="15"/>
      <c r="Q65" s="15"/>
      <c r="R65" s="104"/>
      <c r="S65" s="104"/>
      <c r="T65" s="15"/>
      <c r="U65" s="15"/>
      <c r="V65" s="104"/>
      <c r="W65" s="194"/>
      <c r="Y65" s="15"/>
      <c r="Z65" s="104"/>
      <c r="AA65" s="15"/>
      <c r="AD65" s="15"/>
      <c r="AE65" s="15"/>
      <c r="AF65" s="256">
        <f>AF64-AD64</f>
        <v>-3528</v>
      </c>
      <c r="AG65" s="256">
        <f>AG64-AD64</f>
        <v>-2352</v>
      </c>
      <c r="AH65" s="237"/>
      <c r="AI65" s="15"/>
      <c r="AJ65" s="15"/>
      <c r="AK65" s="15"/>
      <c r="AL65" s="15"/>
      <c r="AM65" s="15"/>
      <c r="AN65" s="15"/>
      <c r="AO65" s="237"/>
      <c r="AP65" s="15"/>
      <c r="AQ65" s="15"/>
      <c r="AR65" s="15"/>
      <c r="AS65" s="15"/>
      <c r="AT65" s="15"/>
      <c r="AU65" s="15"/>
      <c r="AV65" s="15"/>
      <c r="AW65" s="237"/>
    </row>
    <row r="66" spans="1:53" s="40" customFormat="1" ht="15">
      <c r="A66" s="55" t="s">
        <v>65</v>
      </c>
      <c r="B66" s="20">
        <f>B20+B35+B52+B64</f>
        <v>8553.45</v>
      </c>
      <c r="C66" s="20"/>
      <c r="D66" s="20"/>
      <c r="E66" s="20"/>
      <c r="F66" s="20">
        <f>F20+F35+F52+F64</f>
        <v>112919.26000000001</v>
      </c>
      <c r="G66" s="20"/>
      <c r="H66" s="20">
        <f>H20+H35+H52+H64</f>
        <v>28264</v>
      </c>
      <c r="I66" s="20">
        <f>I20+I35+I52+I64</f>
        <v>40057</v>
      </c>
      <c r="J66" s="20"/>
      <c r="K66" s="20">
        <f>K20+K35+K52+K64</f>
        <v>34800</v>
      </c>
      <c r="L66" s="20">
        <f>L20+L35+L52+L64</f>
        <v>33498</v>
      </c>
      <c r="M66" s="20">
        <f>M20+M35+M52+M64</f>
        <v>22597</v>
      </c>
      <c r="N66" s="20">
        <f>N20+N35+N52+N64</f>
        <v>33448</v>
      </c>
      <c r="O66" s="20"/>
      <c r="P66" s="20">
        <f aca="true" t="shared" si="18" ref="P66:W66">P20+P35+P52+P64</f>
        <v>37825</v>
      </c>
      <c r="Q66" s="20">
        <f t="shared" si="18"/>
        <v>35275</v>
      </c>
      <c r="R66" s="20">
        <f t="shared" si="18"/>
        <v>27353</v>
      </c>
      <c r="S66" s="20">
        <f t="shared" si="18"/>
        <v>30426</v>
      </c>
      <c r="T66" s="20">
        <f t="shared" si="18"/>
        <v>31650</v>
      </c>
      <c r="U66" s="20">
        <f t="shared" si="18"/>
        <v>17026</v>
      </c>
      <c r="V66" s="20">
        <f>V20+V35+V52+V64</f>
        <v>27111</v>
      </c>
      <c r="W66" s="20">
        <f t="shared" si="18"/>
        <v>26086</v>
      </c>
      <c r="Y66" s="20">
        <f>Y20+Y35+Y52+Y64</f>
        <v>44375</v>
      </c>
      <c r="Z66" s="20">
        <f>Z20+Z35+Z52+Z64</f>
        <v>28383.260000000002</v>
      </c>
      <c r="AA66" s="20">
        <f>AA20+AA35+AA52+AA64</f>
        <v>29974</v>
      </c>
      <c r="AB66" s="154">
        <f>AB35+AB52+AB57+(AB20-3000)</f>
        <v>34650</v>
      </c>
      <c r="AC66" s="210"/>
      <c r="AD66" s="20">
        <f aca="true" t="shared" si="19" ref="AD66:AJ66">AD20+AD35+AD52+AD64</f>
        <v>48758</v>
      </c>
      <c r="AE66" s="20">
        <f t="shared" si="19"/>
        <v>27946</v>
      </c>
      <c r="AF66" s="20">
        <f t="shared" si="19"/>
        <v>36061</v>
      </c>
      <c r="AG66" s="20">
        <f t="shared" si="19"/>
        <v>37237</v>
      </c>
      <c r="AH66" s="233"/>
      <c r="AI66" s="20">
        <f t="shared" si="19"/>
        <v>51155</v>
      </c>
      <c r="AJ66" s="20">
        <f t="shared" si="19"/>
        <v>30570</v>
      </c>
      <c r="AK66" s="20">
        <f>AK20+AK35+AK52+AK64</f>
        <v>33820</v>
      </c>
      <c r="AL66" s="20">
        <f>AL20+AL35+AL52+AL64</f>
        <v>29011</v>
      </c>
      <c r="AM66" s="20"/>
      <c r="AN66" s="20">
        <f>AN20+AN35+AN52+AN64</f>
        <v>21209</v>
      </c>
      <c r="AO66" s="233"/>
      <c r="AP66" s="20">
        <f aca="true" t="shared" si="20" ref="AP66:AU66">AP20+AP35+AP52+AP64</f>
        <v>24702</v>
      </c>
      <c r="AQ66" s="20">
        <f t="shared" si="20"/>
        <v>28829</v>
      </c>
      <c r="AR66" s="20">
        <f t="shared" si="20"/>
        <v>7420</v>
      </c>
      <c r="AS66" s="20">
        <f t="shared" si="20"/>
        <v>32334</v>
      </c>
      <c r="AT66" s="20">
        <f t="shared" si="20"/>
        <v>29175</v>
      </c>
      <c r="AU66" s="20">
        <f t="shared" si="20"/>
        <v>27179</v>
      </c>
      <c r="AV66" s="20">
        <f>AV20+AV35+AV52+AV64</f>
        <v>4737</v>
      </c>
      <c r="AW66" s="233"/>
      <c r="AX66" s="269">
        <f>AQ66-AK66</f>
        <v>-4991</v>
      </c>
      <c r="AY66" s="116"/>
      <c r="BA66" s="116"/>
    </row>
    <row r="67" spans="1:50" ht="15">
      <c r="A67" s="18" t="s">
        <v>64</v>
      </c>
      <c r="B67" s="15"/>
      <c r="C67" s="15"/>
      <c r="D67" s="15"/>
      <c r="E67" s="15"/>
      <c r="F67" s="49">
        <f>F66-F60</f>
        <v>27919.26000000001</v>
      </c>
      <c r="G67" s="15"/>
      <c r="H67" s="15"/>
      <c r="I67" s="171">
        <f>I66-I60</f>
        <v>29997</v>
      </c>
      <c r="J67" s="16"/>
      <c r="K67" s="15"/>
      <c r="L67" s="172">
        <f>L66-L57</f>
        <v>27887</v>
      </c>
      <c r="M67" s="173"/>
      <c r="N67" s="173"/>
      <c r="O67" s="173"/>
      <c r="P67" s="173"/>
      <c r="Q67" s="173"/>
      <c r="R67" s="172">
        <f>R66-R57-3000</f>
        <v>17632</v>
      </c>
      <c r="S67" s="104"/>
      <c r="T67" s="15"/>
      <c r="U67" s="15"/>
      <c r="V67" s="172">
        <f>V66-V57-3000</f>
        <v>19933</v>
      </c>
      <c r="W67" s="172">
        <f>W66-W57-3000</f>
        <v>18908</v>
      </c>
      <c r="Y67" s="172">
        <f>Y66-Y26</f>
        <v>41375</v>
      </c>
      <c r="Z67" s="172">
        <f>Z66-Z26</f>
        <v>25383.260000000002</v>
      </c>
      <c r="AA67" s="172">
        <f>AA66-AA26</f>
        <v>26974</v>
      </c>
      <c r="AF67" s="256">
        <f>AF66-AD66</f>
        <v>-12697</v>
      </c>
      <c r="AG67" s="256">
        <f>AG66-AD66</f>
        <v>-11521</v>
      </c>
      <c r="AX67" s="270" t="s">
        <v>277</v>
      </c>
    </row>
    <row r="68" spans="1:33" ht="15">
      <c r="A68" s="24" t="s">
        <v>66</v>
      </c>
      <c r="B68" s="15"/>
      <c r="C68" s="15"/>
      <c r="D68" s="15"/>
      <c r="E68" s="15"/>
      <c r="F68" s="16"/>
      <c r="G68" s="15"/>
      <c r="H68" s="15"/>
      <c r="I68" s="174">
        <f>I67-I57</f>
        <v>23688</v>
      </c>
      <c r="J68" s="175"/>
      <c r="K68" s="173"/>
      <c r="L68" s="172" t="s">
        <v>177</v>
      </c>
      <c r="M68" s="173"/>
      <c r="N68" s="173"/>
      <c r="O68" s="173"/>
      <c r="P68" s="173"/>
      <c r="Q68" s="173"/>
      <c r="R68" s="172" t="s">
        <v>177</v>
      </c>
      <c r="S68" s="104"/>
      <c r="T68" s="15"/>
      <c r="U68" s="15"/>
      <c r="V68" s="172" t="s">
        <v>177</v>
      </c>
      <c r="W68" s="172" t="s">
        <v>177</v>
      </c>
      <c r="Y68" s="172" t="s">
        <v>177</v>
      </c>
      <c r="Z68" s="172" t="s">
        <v>177</v>
      </c>
      <c r="AA68" s="172" t="s">
        <v>177</v>
      </c>
      <c r="AF68" s="257" t="s">
        <v>244</v>
      </c>
      <c r="AG68" s="257" t="s">
        <v>244</v>
      </c>
    </row>
    <row r="69" spans="1:26" ht="15">
      <c r="A69" s="24" t="s">
        <v>67</v>
      </c>
      <c r="B69" s="15"/>
      <c r="C69" s="15"/>
      <c r="D69" s="15"/>
      <c r="E69" s="15"/>
      <c r="F69" s="16"/>
      <c r="G69" s="15"/>
      <c r="H69" s="15"/>
      <c r="I69" s="14"/>
      <c r="J69" s="14"/>
      <c r="K69" s="15"/>
      <c r="L69" s="15"/>
      <c r="M69" s="15"/>
      <c r="N69" s="15"/>
      <c r="O69" s="15"/>
      <c r="P69" s="15"/>
      <c r="Q69" s="15"/>
      <c r="R69" s="104"/>
      <c r="S69" s="104"/>
      <c r="T69" s="15"/>
      <c r="U69" s="15"/>
      <c r="V69" s="104"/>
      <c r="W69" s="15"/>
      <c r="Y69" s="15"/>
      <c r="Z69" s="199"/>
    </row>
    <row r="70" spans="1:49" ht="15">
      <c r="A70" s="56" t="s">
        <v>68</v>
      </c>
      <c r="B70" s="16">
        <v>750</v>
      </c>
      <c r="C70" s="15"/>
      <c r="D70" s="15"/>
      <c r="E70" s="15"/>
      <c r="F70" s="16">
        <v>2500</v>
      </c>
      <c r="G70" s="15"/>
      <c r="H70" s="16">
        <v>1000</v>
      </c>
      <c r="I70" s="16">
        <v>1000</v>
      </c>
      <c r="J70" s="16"/>
      <c r="K70" s="16">
        <v>1000</v>
      </c>
      <c r="L70" s="16">
        <v>1000</v>
      </c>
      <c r="M70" s="16">
        <v>1000</v>
      </c>
      <c r="N70" s="16">
        <v>1000</v>
      </c>
      <c r="O70" s="16"/>
      <c r="P70" s="16">
        <v>1000</v>
      </c>
      <c r="Q70" s="16">
        <v>1000</v>
      </c>
      <c r="R70" s="105">
        <v>1000</v>
      </c>
      <c r="S70" s="105">
        <v>1000</v>
      </c>
      <c r="T70" s="16">
        <v>1000</v>
      </c>
      <c r="U70" s="16">
        <v>0</v>
      </c>
      <c r="V70" s="105">
        <v>1000</v>
      </c>
      <c r="W70" s="16">
        <v>1000</v>
      </c>
      <c r="Y70" s="16">
        <v>1000</v>
      </c>
      <c r="Z70" s="105">
        <v>1000</v>
      </c>
      <c r="AA70" s="16">
        <v>1000</v>
      </c>
      <c r="AD70" s="16">
        <v>1000</v>
      </c>
      <c r="AE70" s="16">
        <v>0</v>
      </c>
      <c r="AF70" s="16">
        <v>1000</v>
      </c>
      <c r="AG70" s="16">
        <v>1000</v>
      </c>
      <c r="AH70" s="236"/>
      <c r="AI70" s="16"/>
      <c r="AJ70" s="16"/>
      <c r="AK70" s="16"/>
      <c r="AL70" s="16"/>
      <c r="AM70" s="16"/>
      <c r="AN70" s="16"/>
      <c r="AO70" s="236"/>
      <c r="AP70" s="16"/>
      <c r="AQ70" s="16"/>
      <c r="AR70" s="16"/>
      <c r="AS70" s="16"/>
      <c r="AT70" s="16"/>
      <c r="AU70" s="16"/>
      <c r="AV70" s="16"/>
      <c r="AW70" s="236"/>
    </row>
    <row r="71" spans="1:49" ht="15">
      <c r="A71" s="56" t="s">
        <v>69</v>
      </c>
      <c r="B71" s="16">
        <v>750</v>
      </c>
      <c r="C71" s="15"/>
      <c r="D71" s="15"/>
      <c r="E71" s="15"/>
      <c r="F71" s="16">
        <v>1750</v>
      </c>
      <c r="G71" s="15"/>
      <c r="H71" s="16">
        <v>1000</v>
      </c>
      <c r="I71" s="16">
        <v>1000</v>
      </c>
      <c r="J71" s="16"/>
      <c r="K71" s="16">
        <v>1000</v>
      </c>
      <c r="L71" s="16">
        <v>1000</v>
      </c>
      <c r="M71" s="16">
        <v>1000</v>
      </c>
      <c r="N71" s="16">
        <v>1000</v>
      </c>
      <c r="O71" s="16"/>
      <c r="P71" s="16">
        <v>1000</v>
      </c>
      <c r="Q71" s="16">
        <v>1000</v>
      </c>
      <c r="R71" s="105">
        <v>1000</v>
      </c>
      <c r="S71" s="105">
        <v>1000</v>
      </c>
      <c r="T71" s="16">
        <v>1000</v>
      </c>
      <c r="U71" s="16">
        <v>0</v>
      </c>
      <c r="V71" s="105">
        <v>1000</v>
      </c>
      <c r="W71" s="16">
        <v>1000</v>
      </c>
      <c r="Y71" s="16">
        <v>1000</v>
      </c>
      <c r="Z71" s="105">
        <v>0</v>
      </c>
      <c r="AA71" s="16">
        <v>1000</v>
      </c>
      <c r="AD71" s="16">
        <v>1000</v>
      </c>
      <c r="AE71" s="16">
        <v>0</v>
      </c>
      <c r="AF71" s="16">
        <v>0</v>
      </c>
      <c r="AG71" s="16">
        <v>0</v>
      </c>
      <c r="AH71" s="236"/>
      <c r="AI71" s="16">
        <v>1000</v>
      </c>
      <c r="AJ71" s="16">
        <v>1000</v>
      </c>
      <c r="AK71" s="16">
        <v>1000</v>
      </c>
      <c r="AL71" s="16">
        <v>1000</v>
      </c>
      <c r="AM71" s="16"/>
      <c r="AN71" s="16"/>
      <c r="AO71" s="236"/>
      <c r="AP71" s="16"/>
      <c r="AQ71" s="16">
        <v>0</v>
      </c>
      <c r="AR71" s="16">
        <v>0</v>
      </c>
      <c r="AS71" s="16"/>
      <c r="AT71" s="16">
        <v>0</v>
      </c>
      <c r="AU71" s="16">
        <v>0</v>
      </c>
      <c r="AV71" s="16"/>
      <c r="AW71" s="236"/>
    </row>
    <row r="72" spans="1:49" ht="15">
      <c r="A72" s="56" t="s">
        <v>273</v>
      </c>
      <c r="B72" s="16"/>
      <c r="C72" s="15"/>
      <c r="D72" s="15"/>
      <c r="E72" s="15"/>
      <c r="F72" s="16">
        <v>1000</v>
      </c>
      <c r="G72" s="15"/>
      <c r="H72" s="16">
        <v>1000</v>
      </c>
      <c r="I72" s="16">
        <v>1000</v>
      </c>
      <c r="J72" s="16"/>
      <c r="K72" s="16">
        <v>1000</v>
      </c>
      <c r="L72" s="16">
        <v>1000</v>
      </c>
      <c r="M72" s="16"/>
      <c r="N72" s="16">
        <v>1000</v>
      </c>
      <c r="O72" s="16"/>
      <c r="P72" s="16">
        <v>1000</v>
      </c>
      <c r="Q72" s="16">
        <v>1000</v>
      </c>
      <c r="R72" s="105">
        <v>1000</v>
      </c>
      <c r="S72" s="105">
        <v>1000</v>
      </c>
      <c r="T72" s="16">
        <v>1000</v>
      </c>
      <c r="U72" s="16">
        <v>0</v>
      </c>
      <c r="V72" s="105">
        <v>1000</v>
      </c>
      <c r="W72" s="16">
        <v>1000</v>
      </c>
      <c r="Y72" s="16">
        <v>1000</v>
      </c>
      <c r="Z72" s="105">
        <v>1000</v>
      </c>
      <c r="AA72" s="16">
        <v>1000</v>
      </c>
      <c r="AD72" s="16">
        <v>1000</v>
      </c>
      <c r="AE72" s="16">
        <v>0</v>
      </c>
      <c r="AF72" s="16">
        <v>0</v>
      </c>
      <c r="AG72" s="16">
        <v>0</v>
      </c>
      <c r="AH72" s="236"/>
      <c r="AI72" s="16"/>
      <c r="AJ72" s="16">
        <v>1000</v>
      </c>
      <c r="AK72" s="16">
        <v>1000</v>
      </c>
      <c r="AL72" s="16">
        <v>1000</v>
      </c>
      <c r="AM72" s="16"/>
      <c r="AN72" s="16"/>
      <c r="AO72" s="236"/>
      <c r="AP72" s="16">
        <v>0</v>
      </c>
      <c r="AQ72" s="16">
        <v>1000</v>
      </c>
      <c r="AR72" s="16">
        <v>0</v>
      </c>
      <c r="AS72" s="16"/>
      <c r="AT72" s="16">
        <v>0</v>
      </c>
      <c r="AU72" s="16">
        <v>0</v>
      </c>
      <c r="AV72" s="16"/>
      <c r="AW72" s="236"/>
    </row>
    <row r="73" spans="1:49" ht="15">
      <c r="A73" s="56" t="s">
        <v>70</v>
      </c>
      <c r="B73" s="16">
        <v>1500</v>
      </c>
      <c r="C73" s="15"/>
      <c r="D73" s="15"/>
      <c r="E73" s="15"/>
      <c r="F73" s="16">
        <v>0</v>
      </c>
      <c r="G73" s="15"/>
      <c r="H73" s="16">
        <v>1000</v>
      </c>
      <c r="I73" s="16">
        <v>0</v>
      </c>
      <c r="J73" s="16"/>
      <c r="K73" s="16">
        <v>1000</v>
      </c>
      <c r="L73" s="16">
        <v>1000</v>
      </c>
      <c r="M73" s="16">
        <v>1000</v>
      </c>
      <c r="N73" s="16">
        <v>1000</v>
      </c>
      <c r="O73" s="16"/>
      <c r="P73" s="16">
        <v>1000</v>
      </c>
      <c r="Q73" s="16">
        <v>1000</v>
      </c>
      <c r="R73" s="105">
        <v>1000</v>
      </c>
      <c r="S73" s="105">
        <v>1000</v>
      </c>
      <c r="T73" s="16">
        <v>1000</v>
      </c>
      <c r="U73" s="16">
        <v>1000</v>
      </c>
      <c r="V73" s="105">
        <v>1000</v>
      </c>
      <c r="W73" s="16">
        <v>1000</v>
      </c>
      <c r="Y73" s="16">
        <v>1000</v>
      </c>
      <c r="Z73" s="105">
        <v>1000</v>
      </c>
      <c r="AA73" s="16">
        <v>1000</v>
      </c>
      <c r="AD73" s="16">
        <v>1000</v>
      </c>
      <c r="AE73" s="16">
        <v>0</v>
      </c>
      <c r="AF73" s="16">
        <v>0</v>
      </c>
      <c r="AG73" s="16">
        <v>0</v>
      </c>
      <c r="AH73" s="236"/>
      <c r="AI73" s="16"/>
      <c r="AJ73" s="16"/>
      <c r="AK73" s="16"/>
      <c r="AL73" s="16"/>
      <c r="AM73" s="16"/>
      <c r="AN73" s="16"/>
      <c r="AO73" s="236"/>
      <c r="AP73" s="16"/>
      <c r="AQ73" s="16"/>
      <c r="AR73" s="16"/>
      <c r="AS73" s="16"/>
      <c r="AT73" s="16"/>
      <c r="AU73" s="16"/>
      <c r="AV73" s="16"/>
      <c r="AW73" s="236"/>
    </row>
    <row r="74" spans="1:49" ht="15">
      <c r="A74" s="56" t="s">
        <v>71</v>
      </c>
      <c r="B74" s="16">
        <v>1483.5</v>
      </c>
      <c r="C74" s="15"/>
      <c r="D74" s="15"/>
      <c r="E74" s="15"/>
      <c r="F74" s="16">
        <v>2124</v>
      </c>
      <c r="G74" s="15"/>
      <c r="H74" s="16">
        <v>3000</v>
      </c>
      <c r="I74" s="16">
        <v>3582</v>
      </c>
      <c r="J74" s="16"/>
      <c r="K74" s="16">
        <v>3000</v>
      </c>
      <c r="L74" s="16">
        <v>491</v>
      </c>
      <c r="M74" s="16">
        <v>491</v>
      </c>
      <c r="N74" s="16">
        <v>500</v>
      </c>
      <c r="O74" s="16"/>
      <c r="P74" s="16">
        <v>3000</v>
      </c>
      <c r="Q74" s="16">
        <v>3000</v>
      </c>
      <c r="R74" s="105">
        <v>1293</v>
      </c>
      <c r="S74" s="105">
        <v>1293</v>
      </c>
      <c r="T74" s="16">
        <v>0</v>
      </c>
      <c r="U74" s="16">
        <v>0</v>
      </c>
      <c r="V74" s="105">
        <v>0</v>
      </c>
      <c r="W74" s="16">
        <v>0</v>
      </c>
      <c r="Y74" s="16">
        <v>0</v>
      </c>
      <c r="Z74" s="105">
        <v>0</v>
      </c>
      <c r="AA74" s="16">
        <v>0</v>
      </c>
      <c r="AD74" s="16">
        <v>0</v>
      </c>
      <c r="AE74" s="16">
        <v>0</v>
      </c>
      <c r="AF74" s="16">
        <v>0</v>
      </c>
      <c r="AG74" s="16">
        <v>0</v>
      </c>
      <c r="AH74" s="236"/>
      <c r="AI74" s="16"/>
      <c r="AJ74" s="16"/>
      <c r="AK74" s="16"/>
      <c r="AL74" s="16"/>
      <c r="AM74" s="16"/>
      <c r="AN74" s="16"/>
      <c r="AO74" s="236"/>
      <c r="AP74" s="16"/>
      <c r="AQ74" s="16"/>
      <c r="AR74" s="16"/>
      <c r="AS74" s="16"/>
      <c r="AT74" s="16"/>
      <c r="AU74" s="16"/>
      <c r="AV74" s="16"/>
      <c r="AW74" s="236"/>
    </row>
    <row r="75" spans="1:49" ht="15">
      <c r="A75" s="56" t="s">
        <v>72</v>
      </c>
      <c r="B75" s="15"/>
      <c r="C75" s="15"/>
      <c r="D75" s="15"/>
      <c r="E75" s="15"/>
      <c r="F75" s="16">
        <v>3000</v>
      </c>
      <c r="G75" s="15"/>
      <c r="H75" s="16">
        <v>3000</v>
      </c>
      <c r="I75" s="16">
        <v>2000</v>
      </c>
      <c r="J75" s="16"/>
      <c r="K75" s="16">
        <v>3000</v>
      </c>
      <c r="L75" s="16">
        <v>4000</v>
      </c>
      <c r="M75" s="16">
        <v>2000</v>
      </c>
      <c r="N75" s="16">
        <v>3000</v>
      </c>
      <c r="O75" s="16"/>
      <c r="P75" s="16">
        <v>3000</v>
      </c>
      <c r="Q75" s="16">
        <v>3000</v>
      </c>
      <c r="R75" s="105">
        <v>3000</v>
      </c>
      <c r="S75" s="105">
        <v>3000</v>
      </c>
      <c r="T75" s="16">
        <v>3000</v>
      </c>
      <c r="U75" s="16">
        <v>0</v>
      </c>
      <c r="V75" s="105">
        <v>3000</v>
      </c>
      <c r="W75" s="16">
        <v>3000</v>
      </c>
      <c r="Y75" s="16">
        <v>3000</v>
      </c>
      <c r="Z75" s="105">
        <v>2000</v>
      </c>
      <c r="AA75" s="16">
        <v>2000</v>
      </c>
      <c r="AD75" s="16">
        <v>2000</v>
      </c>
      <c r="AE75" s="16">
        <v>0</v>
      </c>
      <c r="AF75" s="16">
        <v>0</v>
      </c>
      <c r="AG75" s="16">
        <v>0</v>
      </c>
      <c r="AH75" s="236"/>
      <c r="AI75" s="16"/>
      <c r="AJ75" s="16"/>
      <c r="AK75" s="16"/>
      <c r="AL75" s="16"/>
      <c r="AM75" s="16"/>
      <c r="AN75" s="16"/>
      <c r="AO75" s="236"/>
      <c r="AP75" s="16"/>
      <c r="AQ75" s="16"/>
      <c r="AR75" s="16"/>
      <c r="AS75" s="16"/>
      <c r="AT75" s="16"/>
      <c r="AU75" s="16"/>
      <c r="AV75" s="16"/>
      <c r="AW75" s="236"/>
    </row>
    <row r="76" spans="1:49" ht="15">
      <c r="A76" s="123" t="s">
        <v>196</v>
      </c>
      <c r="B76" s="124"/>
      <c r="C76" s="124"/>
      <c r="D76" s="124"/>
      <c r="E76" s="124"/>
      <c r="F76" s="125"/>
      <c r="G76" s="124"/>
      <c r="H76" s="125"/>
      <c r="I76" s="125">
        <v>0</v>
      </c>
      <c r="J76" s="125"/>
      <c r="K76" s="125">
        <v>-3000</v>
      </c>
      <c r="L76" s="125">
        <v>0</v>
      </c>
      <c r="M76" s="125">
        <v>-2000</v>
      </c>
      <c r="N76" s="125">
        <v>-3000</v>
      </c>
      <c r="O76" s="125"/>
      <c r="P76" s="125">
        <v>-3000</v>
      </c>
      <c r="Q76" s="125">
        <v>-3000</v>
      </c>
      <c r="R76" s="125">
        <v>0</v>
      </c>
      <c r="S76" s="125">
        <v>-3000</v>
      </c>
      <c r="T76" s="125">
        <v>0</v>
      </c>
      <c r="U76" s="125">
        <v>0</v>
      </c>
      <c r="V76" s="125">
        <v>-1000</v>
      </c>
      <c r="W76" s="125">
        <v>-1000</v>
      </c>
      <c r="Y76" s="125">
        <v>-1000</v>
      </c>
      <c r="Z76" s="125">
        <v>-1000</v>
      </c>
      <c r="AA76" s="125">
        <v>-1000</v>
      </c>
      <c r="AD76" s="125">
        <v>-1000</v>
      </c>
      <c r="AE76" s="125">
        <v>0</v>
      </c>
      <c r="AF76" s="125">
        <v>0</v>
      </c>
      <c r="AG76" s="125">
        <v>0</v>
      </c>
      <c r="AH76" s="242"/>
      <c r="AI76" s="125"/>
      <c r="AJ76" s="125"/>
      <c r="AK76" s="125"/>
      <c r="AL76" s="125"/>
      <c r="AM76" s="125"/>
      <c r="AN76" s="125"/>
      <c r="AO76" s="242"/>
      <c r="AP76" s="125"/>
      <c r="AQ76" s="125"/>
      <c r="AR76" s="125"/>
      <c r="AS76" s="125"/>
      <c r="AT76" s="125"/>
      <c r="AU76" s="125"/>
      <c r="AV76" s="125"/>
      <c r="AW76" s="242"/>
    </row>
    <row r="77" spans="1:49" ht="15">
      <c r="A77" s="123" t="s">
        <v>73</v>
      </c>
      <c r="B77" s="124"/>
      <c r="C77" s="124"/>
      <c r="D77" s="124"/>
      <c r="E77" s="124"/>
      <c r="F77" s="125"/>
      <c r="G77" s="124"/>
      <c r="H77" s="125"/>
      <c r="I77" s="125">
        <v>-3000</v>
      </c>
      <c r="J77" s="125"/>
      <c r="K77" s="125">
        <v>-3000</v>
      </c>
      <c r="L77" s="125">
        <v>-4000</v>
      </c>
      <c r="M77" s="125">
        <v>-2000</v>
      </c>
      <c r="N77" s="125">
        <v>-3000</v>
      </c>
      <c r="O77" s="125"/>
      <c r="P77" s="125">
        <v>-3000</v>
      </c>
      <c r="Q77" s="125">
        <v>-3000</v>
      </c>
      <c r="R77" s="125">
        <v>-3000</v>
      </c>
      <c r="S77" s="125">
        <v>-3000</v>
      </c>
      <c r="T77" s="125">
        <v>-3000</v>
      </c>
      <c r="U77" s="125">
        <v>0</v>
      </c>
      <c r="V77" s="125">
        <v>-3000</v>
      </c>
      <c r="W77" s="125">
        <v>-3000</v>
      </c>
      <c r="Y77" s="125">
        <v>-3000</v>
      </c>
      <c r="Z77" s="125">
        <v>-2000</v>
      </c>
      <c r="AA77" s="125">
        <v>-2000</v>
      </c>
      <c r="AD77" s="125">
        <v>-2000</v>
      </c>
      <c r="AE77" s="125">
        <v>0</v>
      </c>
      <c r="AF77" s="125">
        <v>0</v>
      </c>
      <c r="AG77" s="125"/>
      <c r="AH77" s="242"/>
      <c r="AI77" s="125"/>
      <c r="AJ77" s="125"/>
      <c r="AK77" s="125"/>
      <c r="AL77" s="125"/>
      <c r="AM77" s="125"/>
      <c r="AN77" s="125"/>
      <c r="AO77" s="242"/>
      <c r="AP77" s="125"/>
      <c r="AQ77" s="125"/>
      <c r="AR77" s="125"/>
      <c r="AS77" s="125"/>
      <c r="AT77" s="125"/>
      <c r="AU77" s="125"/>
      <c r="AV77" s="125"/>
      <c r="AW77" s="242"/>
    </row>
    <row r="78" spans="1:49" ht="15">
      <c r="A78" s="56" t="s">
        <v>74</v>
      </c>
      <c r="B78" s="15"/>
      <c r="C78" s="15"/>
      <c r="D78" s="15"/>
      <c r="E78" s="15"/>
      <c r="F78" s="16"/>
      <c r="G78" s="15"/>
      <c r="H78" s="15"/>
      <c r="I78" s="16">
        <v>0</v>
      </c>
      <c r="J78" s="16"/>
      <c r="K78" s="16"/>
      <c r="L78" s="16"/>
      <c r="M78" s="16"/>
      <c r="N78" s="16"/>
      <c r="O78" s="16"/>
      <c r="P78" s="16"/>
      <c r="Q78" s="16"/>
      <c r="R78" s="105"/>
      <c r="S78" s="105"/>
      <c r="T78" s="16"/>
      <c r="U78" s="16">
        <v>0</v>
      </c>
      <c r="V78" s="105">
        <v>0</v>
      </c>
      <c r="W78" s="16"/>
      <c r="Y78" s="16"/>
      <c r="Z78" s="105"/>
      <c r="AA78" s="16"/>
      <c r="AD78" s="16"/>
      <c r="AE78" s="16"/>
      <c r="AF78" s="16"/>
      <c r="AG78" s="16"/>
      <c r="AH78" s="236"/>
      <c r="AI78" s="16"/>
      <c r="AJ78" s="16"/>
      <c r="AK78" s="16"/>
      <c r="AL78" s="16"/>
      <c r="AM78" s="16"/>
      <c r="AN78" s="16"/>
      <c r="AO78" s="236"/>
      <c r="AP78" s="16"/>
      <c r="AQ78" s="16"/>
      <c r="AR78" s="16"/>
      <c r="AS78" s="16"/>
      <c r="AT78" s="16"/>
      <c r="AU78" s="16"/>
      <c r="AV78" s="16"/>
      <c r="AW78" s="236"/>
    </row>
    <row r="79" spans="1:49" ht="15">
      <c r="A79" s="56" t="s">
        <v>75</v>
      </c>
      <c r="B79" s="16">
        <v>92.84</v>
      </c>
      <c r="C79" s="15"/>
      <c r="D79" s="15"/>
      <c r="E79" s="15"/>
      <c r="F79" s="16">
        <v>411.68</v>
      </c>
      <c r="G79" s="15"/>
      <c r="H79" s="16">
        <v>400</v>
      </c>
      <c r="I79" s="16">
        <v>120</v>
      </c>
      <c r="J79" s="16"/>
      <c r="K79" s="16">
        <v>150</v>
      </c>
      <c r="L79" s="16">
        <v>95</v>
      </c>
      <c r="M79" s="16">
        <v>95</v>
      </c>
      <c r="N79" s="16">
        <v>150</v>
      </c>
      <c r="O79" s="16"/>
      <c r="P79" s="16">
        <v>150</v>
      </c>
      <c r="Q79" s="16">
        <v>150</v>
      </c>
      <c r="R79" s="105">
        <v>68</v>
      </c>
      <c r="S79" s="105">
        <v>75</v>
      </c>
      <c r="T79" s="16">
        <v>150</v>
      </c>
      <c r="U79" s="16">
        <v>345</v>
      </c>
      <c r="V79" s="105">
        <v>345</v>
      </c>
      <c r="W79" s="16">
        <v>345</v>
      </c>
      <c r="Y79" s="16">
        <v>150</v>
      </c>
      <c r="Z79" s="105">
        <v>150</v>
      </c>
      <c r="AA79" s="16">
        <v>150</v>
      </c>
      <c r="AD79" s="16">
        <v>150</v>
      </c>
      <c r="AE79" s="16">
        <v>0</v>
      </c>
      <c r="AF79" s="16">
        <v>0</v>
      </c>
      <c r="AG79" s="16">
        <v>0</v>
      </c>
      <c r="AH79" s="236"/>
      <c r="AI79" s="16"/>
      <c r="AJ79" s="16"/>
      <c r="AK79" s="16"/>
      <c r="AL79" s="16"/>
      <c r="AM79" s="16"/>
      <c r="AN79" s="16"/>
      <c r="AO79" s="236"/>
      <c r="AP79" s="16"/>
      <c r="AQ79" s="16"/>
      <c r="AR79" s="16"/>
      <c r="AS79" s="16"/>
      <c r="AT79" s="16"/>
      <c r="AU79" s="16"/>
      <c r="AV79" s="16"/>
      <c r="AW79" s="236"/>
    </row>
    <row r="80" spans="1:49" ht="15">
      <c r="A80" s="18" t="s">
        <v>76</v>
      </c>
      <c r="B80" s="15">
        <f>SUM(B70:B79)</f>
        <v>4576.34</v>
      </c>
      <c r="C80" s="15"/>
      <c r="D80" s="15"/>
      <c r="E80" s="15"/>
      <c r="F80" s="15">
        <f>SUM(F70:F79)</f>
        <v>10785.68</v>
      </c>
      <c r="G80" s="15"/>
      <c r="H80" s="15">
        <f>SUM(H70:H79)</f>
        <v>10400</v>
      </c>
      <c r="I80" s="20">
        <f>SUM(I70:I79)</f>
        <v>5702</v>
      </c>
      <c r="J80" s="15"/>
      <c r="K80" s="15">
        <f>K70+K71+K72+K73+K74+K75+K79+K77</f>
        <v>7150</v>
      </c>
      <c r="L80" s="15">
        <f>L70+L71+L72+L73+L74+L75+L79+L77</f>
        <v>4586</v>
      </c>
      <c r="M80" s="15">
        <f>M70+M71+M72+M73+M74+M75+M79+M77</f>
        <v>3586</v>
      </c>
      <c r="N80" s="15">
        <f>N70+N71+N72+N73+N74+N75+N79+N77</f>
        <v>4650</v>
      </c>
      <c r="O80" s="15"/>
      <c r="P80" s="15">
        <f aca="true" t="shared" si="21" ref="P80:U80">P70+P71+P72+P73+P74+P75+P79+P77</f>
        <v>7150</v>
      </c>
      <c r="Q80" s="15">
        <f t="shared" si="21"/>
        <v>7150</v>
      </c>
      <c r="R80" s="15">
        <f t="shared" si="21"/>
        <v>5361</v>
      </c>
      <c r="S80" s="15">
        <f t="shared" si="21"/>
        <v>5368</v>
      </c>
      <c r="T80" s="15">
        <f t="shared" si="21"/>
        <v>4150</v>
      </c>
      <c r="U80" s="15">
        <f t="shared" si="21"/>
        <v>1345</v>
      </c>
      <c r="V80" s="15">
        <f>V70+V71+V72+V73+V74+V75+V79+V77+V76</f>
        <v>3345</v>
      </c>
      <c r="W80" s="15">
        <f>W70+W71+W72+W73+W74+W75+W79+W77+W76</f>
        <v>3345</v>
      </c>
      <c r="Y80" s="15">
        <f>SUM(Y70:Y79)</f>
        <v>3150</v>
      </c>
      <c r="Z80" s="15">
        <f>SUM(Z70:Z79)</f>
        <v>2150</v>
      </c>
      <c r="AA80" s="15">
        <f>SUM(AA70:AA79)</f>
        <v>3150</v>
      </c>
      <c r="AB80" s="164"/>
      <c r="AC80" s="3"/>
      <c r="AD80" s="15">
        <f aca="true" t="shared" si="22" ref="AD80:AJ80">SUM(AD70:AD79)</f>
        <v>3150</v>
      </c>
      <c r="AE80" s="15">
        <f t="shared" si="22"/>
        <v>0</v>
      </c>
      <c r="AF80" s="15">
        <f t="shared" si="22"/>
        <v>1000</v>
      </c>
      <c r="AG80" s="15">
        <f t="shared" si="22"/>
        <v>1000</v>
      </c>
      <c r="AH80" s="237"/>
      <c r="AI80" s="15">
        <f t="shared" si="22"/>
        <v>1000</v>
      </c>
      <c r="AJ80" s="15">
        <f t="shared" si="22"/>
        <v>2000</v>
      </c>
      <c r="AK80" s="15">
        <f>SUM(AK70:AK79)</f>
        <v>2000</v>
      </c>
      <c r="AL80" s="15">
        <f>SUM(AL70:AL79)</f>
        <v>2000</v>
      </c>
      <c r="AM80" s="15"/>
      <c r="AN80" s="15">
        <v>0</v>
      </c>
      <c r="AO80" s="237"/>
      <c r="AP80" s="15">
        <f>SUM(AP70:AP79)</f>
        <v>0</v>
      </c>
      <c r="AQ80" s="15">
        <f>SUM(AQ70:AQ79)</f>
        <v>1000</v>
      </c>
      <c r="AR80" s="15">
        <f>SUM(AR70:AR79)</f>
        <v>0</v>
      </c>
      <c r="AS80" s="15">
        <v>0</v>
      </c>
      <c r="AT80" s="15">
        <f>SUM(AT70:AT79)</f>
        <v>0</v>
      </c>
      <c r="AU80" s="15">
        <f>SUM(AU70:AU79)</f>
        <v>0</v>
      </c>
      <c r="AV80" s="15"/>
      <c r="AW80" s="237"/>
    </row>
    <row r="81" spans="1:49" ht="0.75" customHeight="1">
      <c r="A81" s="18"/>
      <c r="B81" s="15"/>
      <c r="C81" s="15"/>
      <c r="D81" s="15"/>
      <c r="E81" s="15"/>
      <c r="F81" s="15"/>
      <c r="G81" s="15"/>
      <c r="H81" s="15"/>
      <c r="I81" s="14"/>
      <c r="J81" s="14"/>
      <c r="K81" s="15"/>
      <c r="L81" s="15"/>
      <c r="M81" s="15"/>
      <c r="N81" s="15"/>
      <c r="O81" s="15"/>
      <c r="P81" s="15"/>
      <c r="Q81" s="15"/>
      <c r="R81" s="104"/>
      <c r="S81" s="104"/>
      <c r="T81" s="15"/>
      <c r="U81" s="15"/>
      <c r="V81" s="104"/>
      <c r="W81" s="15"/>
      <c r="Y81" s="167"/>
      <c r="Z81" s="213"/>
      <c r="AA81" s="186"/>
      <c r="AB81" s="157" t="s">
        <v>168</v>
      </c>
      <c r="AC81" s="210"/>
      <c r="AD81" s="210"/>
      <c r="AE81" s="210"/>
      <c r="AF81" s="210"/>
      <c r="AG81" s="210"/>
      <c r="AH81" s="231"/>
      <c r="AI81" s="210"/>
      <c r="AJ81" s="210"/>
      <c r="AK81" s="210"/>
      <c r="AL81" s="210"/>
      <c r="AM81" s="210"/>
      <c r="AN81" s="210"/>
      <c r="AO81" s="231"/>
      <c r="AP81" s="210"/>
      <c r="AQ81" s="210"/>
      <c r="AR81" s="210"/>
      <c r="AS81" s="210"/>
      <c r="AT81" s="210"/>
      <c r="AU81" s="210"/>
      <c r="AV81" s="210"/>
      <c r="AW81" s="231"/>
    </row>
    <row r="82" spans="1:26" ht="0.75" customHeight="1" hidden="1">
      <c r="A82" s="24" t="s">
        <v>166</v>
      </c>
      <c r="B82" s="15"/>
      <c r="C82" s="15"/>
      <c r="D82" s="15"/>
      <c r="E82" s="15"/>
      <c r="F82" s="15"/>
      <c r="G82" s="15"/>
      <c r="H82" s="15"/>
      <c r="I82" s="14"/>
      <c r="J82" s="14"/>
      <c r="K82" s="15"/>
      <c r="L82" s="15"/>
      <c r="M82" s="15"/>
      <c r="N82" s="15"/>
      <c r="O82" s="15"/>
      <c r="P82" s="15"/>
      <c r="Q82" s="15"/>
      <c r="R82" s="104"/>
      <c r="S82" s="104"/>
      <c r="T82" s="15"/>
      <c r="U82" s="15"/>
      <c r="V82" s="104"/>
      <c r="W82" s="15"/>
      <c r="Y82" s="15"/>
      <c r="Z82" s="199"/>
    </row>
    <row r="83" spans="1:27" ht="15" customHeight="1" hidden="1">
      <c r="A83" s="56" t="s">
        <v>159</v>
      </c>
      <c r="B83" s="15">
        <v>0</v>
      </c>
      <c r="C83" s="15"/>
      <c r="D83" s="15"/>
      <c r="E83" s="15"/>
      <c r="F83" s="15">
        <v>0</v>
      </c>
      <c r="G83" s="15"/>
      <c r="H83" s="15">
        <v>0</v>
      </c>
      <c r="I83" s="15">
        <v>0</v>
      </c>
      <c r="J83" s="15"/>
      <c r="K83" s="15">
        <v>0</v>
      </c>
      <c r="L83" s="15"/>
      <c r="M83" s="15"/>
      <c r="N83" s="15"/>
      <c r="O83" s="15"/>
      <c r="P83" s="15">
        <v>0</v>
      </c>
      <c r="Q83" s="15">
        <v>0</v>
      </c>
      <c r="R83" s="104"/>
      <c r="S83" s="104"/>
      <c r="T83" s="15">
        <v>0</v>
      </c>
      <c r="U83" s="15">
        <v>0</v>
      </c>
      <c r="V83" s="104">
        <v>0</v>
      </c>
      <c r="W83" s="15"/>
      <c r="Y83" s="16">
        <v>0</v>
      </c>
      <c r="Z83" s="206"/>
      <c r="AA83" s="139"/>
    </row>
    <row r="84" spans="1:26" ht="15" customHeight="1" hidden="1">
      <c r="A84" s="56"/>
      <c r="B84" s="15"/>
      <c r="C84" s="15"/>
      <c r="D84" s="15"/>
      <c r="E84" s="15"/>
      <c r="F84" s="15"/>
      <c r="G84" s="15"/>
      <c r="H84" s="15"/>
      <c r="I84" s="14"/>
      <c r="J84" s="14"/>
      <c r="K84" s="15"/>
      <c r="L84" s="15"/>
      <c r="M84" s="15"/>
      <c r="N84" s="15"/>
      <c r="O84" s="15"/>
      <c r="P84" s="15"/>
      <c r="Q84" s="15"/>
      <c r="R84" s="104"/>
      <c r="S84" s="104"/>
      <c r="U84" s="167"/>
      <c r="V84" s="208"/>
      <c r="W84" s="167"/>
      <c r="X84" s="40"/>
      <c r="Y84" s="16"/>
      <c r="Z84" s="199"/>
    </row>
    <row r="85" spans="2:26" ht="15" customHeight="1" hidden="1">
      <c r="B85" s="15"/>
      <c r="C85" s="15"/>
      <c r="D85" s="15"/>
      <c r="E85" s="15"/>
      <c r="F85" s="15"/>
      <c r="G85" s="15"/>
      <c r="H85" s="15"/>
      <c r="I85" s="14"/>
      <c r="J85" s="14"/>
      <c r="K85" s="15"/>
      <c r="L85" s="15"/>
      <c r="M85" s="15"/>
      <c r="N85" s="15"/>
      <c r="O85" s="15"/>
      <c r="P85" s="15"/>
      <c r="Q85" s="15"/>
      <c r="R85" s="104"/>
      <c r="S85" s="104"/>
      <c r="U85" s="167"/>
      <c r="V85" s="208"/>
      <c r="W85" s="167"/>
      <c r="X85" s="40"/>
      <c r="Y85" s="16"/>
      <c r="Z85" s="199"/>
    </row>
    <row r="86" spans="1:26" ht="15" customHeight="1" hidden="1">
      <c r="A86" s="56" t="s">
        <v>165</v>
      </c>
      <c r="B86" s="15"/>
      <c r="C86" s="15"/>
      <c r="D86" s="15"/>
      <c r="E86" s="15"/>
      <c r="F86" s="15"/>
      <c r="G86" s="15"/>
      <c r="H86" s="15"/>
      <c r="I86" s="14"/>
      <c r="J86" s="14"/>
      <c r="K86" s="15"/>
      <c r="L86" s="15"/>
      <c r="M86" s="15"/>
      <c r="N86" s="15"/>
      <c r="O86" s="15"/>
      <c r="P86" s="15"/>
      <c r="Q86" s="15"/>
      <c r="R86" s="104"/>
      <c r="S86" s="104"/>
      <c r="T86" s="15"/>
      <c r="U86" s="15"/>
      <c r="V86" s="104"/>
      <c r="W86" s="15"/>
      <c r="Y86" s="138">
        <v>0</v>
      </c>
      <c r="Z86" s="199"/>
    </row>
    <row r="87" spans="1:26" ht="15" customHeight="1" hidden="1">
      <c r="A87" s="56" t="s">
        <v>167</v>
      </c>
      <c r="B87" s="15"/>
      <c r="C87" s="15"/>
      <c r="D87" s="15"/>
      <c r="E87" s="15"/>
      <c r="F87" s="15"/>
      <c r="G87" s="15"/>
      <c r="H87" s="15"/>
      <c r="I87" s="14"/>
      <c r="J87" s="14"/>
      <c r="K87" s="15"/>
      <c r="L87" s="16">
        <v>50</v>
      </c>
      <c r="M87" s="16">
        <v>50</v>
      </c>
      <c r="N87" s="16">
        <v>50</v>
      </c>
      <c r="O87" s="15"/>
      <c r="P87" s="15"/>
      <c r="Q87" s="15"/>
      <c r="R87" s="104"/>
      <c r="S87" s="104"/>
      <c r="T87" s="15"/>
      <c r="U87" s="15"/>
      <c r="V87" s="104"/>
      <c r="W87" s="15"/>
      <c r="Y87" s="138">
        <v>0</v>
      </c>
      <c r="Z87" s="199"/>
    </row>
    <row r="88" spans="1:26" ht="15" customHeight="1" hidden="1">
      <c r="A88" s="56" t="s">
        <v>160</v>
      </c>
      <c r="B88" s="15"/>
      <c r="C88" s="15"/>
      <c r="D88" s="15"/>
      <c r="E88" s="15"/>
      <c r="F88" s="15"/>
      <c r="G88" s="15"/>
      <c r="H88" s="15"/>
      <c r="I88" s="14"/>
      <c r="J88" s="14"/>
      <c r="K88" s="15"/>
      <c r="L88" s="15"/>
      <c r="M88" s="15"/>
      <c r="N88" s="15"/>
      <c r="O88" s="15"/>
      <c r="P88" s="100">
        <v>0</v>
      </c>
      <c r="Q88" s="16">
        <v>0</v>
      </c>
      <c r="R88" s="105"/>
      <c r="S88" s="105"/>
      <c r="T88" s="16">
        <v>3250</v>
      </c>
      <c r="U88" s="16">
        <v>0</v>
      </c>
      <c r="V88" s="105">
        <v>0</v>
      </c>
      <c r="W88" s="16">
        <v>0</v>
      </c>
      <c r="Y88" s="16">
        <v>0</v>
      </c>
      <c r="Z88" s="199"/>
    </row>
    <row r="89" spans="1:26" ht="15" customHeight="1" hidden="1">
      <c r="A89" s="56" t="s">
        <v>77</v>
      </c>
      <c r="B89" s="16">
        <v>6167.45</v>
      </c>
      <c r="C89" s="15"/>
      <c r="D89" s="15"/>
      <c r="E89" s="15"/>
      <c r="F89" s="16">
        <v>4393.76</v>
      </c>
      <c r="G89" s="15"/>
      <c r="H89" s="15">
        <v>0</v>
      </c>
      <c r="I89" s="15">
        <v>0</v>
      </c>
      <c r="J89" s="15"/>
      <c r="K89" s="15">
        <v>0</v>
      </c>
      <c r="L89" s="15">
        <v>0</v>
      </c>
      <c r="M89" s="15">
        <v>0</v>
      </c>
      <c r="N89" s="15">
        <v>0</v>
      </c>
      <c r="O89" s="15"/>
      <c r="P89" s="15">
        <v>0</v>
      </c>
      <c r="Q89" s="15">
        <v>0</v>
      </c>
      <c r="R89" s="104"/>
      <c r="S89" s="104"/>
      <c r="T89" s="15">
        <v>0</v>
      </c>
      <c r="U89" s="15">
        <v>0</v>
      </c>
      <c r="V89" s="104">
        <v>0</v>
      </c>
      <c r="W89" s="15">
        <v>0</v>
      </c>
      <c r="Y89" s="15">
        <v>0</v>
      </c>
      <c r="Z89" s="199"/>
    </row>
    <row r="90" spans="1:49" ht="16.5" customHeight="1" hidden="1">
      <c r="A90" s="18" t="s">
        <v>161</v>
      </c>
      <c r="B90" s="15">
        <f>SUM(B83:B89)</f>
        <v>6167.45</v>
      </c>
      <c r="C90" s="10"/>
      <c r="D90" s="11"/>
      <c r="E90" s="11"/>
      <c r="F90" s="15">
        <f>SUM(F83:F89)</f>
        <v>4393.76</v>
      </c>
      <c r="G90" s="4"/>
      <c r="H90" s="15">
        <f>SUM(H83:H89)</f>
        <v>0</v>
      </c>
      <c r="I90" s="15">
        <f>SUM(I83:I89)</f>
        <v>0</v>
      </c>
      <c r="J90" s="15"/>
      <c r="K90" s="15">
        <f>SUM(K83:K89)</f>
        <v>0</v>
      </c>
      <c r="L90" s="15">
        <f>SUM(L83:L89)</f>
        <v>50</v>
      </c>
      <c r="M90" s="15">
        <f>SUM(M83:M89)</f>
        <v>50</v>
      </c>
      <c r="N90" s="15">
        <f>SUM(N83:N89)</f>
        <v>50</v>
      </c>
      <c r="O90" s="15"/>
      <c r="P90" s="15">
        <f>SUM(P83:P89)</f>
        <v>0</v>
      </c>
      <c r="Q90" s="15">
        <f>SUM(Q83:Q89)</f>
        <v>0</v>
      </c>
      <c r="R90" s="104"/>
      <c r="S90" s="104"/>
      <c r="T90" s="15">
        <f>SUM(T83:T89)</f>
        <v>3250</v>
      </c>
      <c r="U90" s="15">
        <f>SUM(U83:U89)</f>
        <v>0</v>
      </c>
      <c r="V90" s="104">
        <f>SUM(V83:V89)</f>
        <v>0</v>
      </c>
      <c r="W90" s="15">
        <f>SUM(W83:W89)</f>
        <v>0</v>
      </c>
      <c r="Y90" s="15">
        <f>SUM(Y83:Y89)</f>
        <v>0</v>
      </c>
      <c r="Z90" s="104"/>
      <c r="AA90" s="15"/>
      <c r="AB90" s="151"/>
      <c r="AC90" s="210"/>
      <c r="AD90" s="210"/>
      <c r="AE90" s="210"/>
      <c r="AF90" s="210"/>
      <c r="AG90" s="210"/>
      <c r="AH90" s="231"/>
      <c r="AI90" s="210"/>
      <c r="AJ90" s="210"/>
      <c r="AK90" s="210"/>
      <c r="AL90" s="210"/>
      <c r="AM90" s="210"/>
      <c r="AN90" s="210"/>
      <c r="AO90" s="231"/>
      <c r="AP90" s="210"/>
      <c r="AQ90" s="210"/>
      <c r="AR90" s="210"/>
      <c r="AS90" s="210"/>
      <c r="AT90" s="210"/>
      <c r="AU90" s="210"/>
      <c r="AV90" s="210"/>
      <c r="AW90" s="231"/>
    </row>
    <row r="91" spans="1:26" ht="16.5" customHeight="1" hidden="1">
      <c r="A91" s="18"/>
      <c r="B91" s="15"/>
      <c r="C91" s="10"/>
      <c r="D91" s="11"/>
      <c r="E91" s="11"/>
      <c r="F91" s="15"/>
      <c r="G91" s="4"/>
      <c r="H91" s="15"/>
      <c r="K91" s="21"/>
      <c r="L91" s="21"/>
      <c r="M91" s="21"/>
      <c r="N91" s="21"/>
      <c r="O91" s="21"/>
      <c r="P91" s="21"/>
      <c r="Q91" s="21"/>
      <c r="R91" s="107"/>
      <c r="S91" s="107"/>
      <c r="T91" s="21"/>
      <c r="U91" s="21"/>
      <c r="V91" s="209"/>
      <c r="W91" s="21"/>
      <c r="Y91" s="21"/>
      <c r="Z91" s="199"/>
    </row>
    <row r="92" spans="1:33" ht="15">
      <c r="A92" s="24" t="s">
        <v>78</v>
      </c>
      <c r="B92" s="15"/>
      <c r="C92" s="15"/>
      <c r="D92" s="15"/>
      <c r="E92" s="15"/>
      <c r="F92" s="15"/>
      <c r="G92" s="15"/>
      <c r="H92" s="15"/>
      <c r="K92" s="21"/>
      <c r="L92" s="21"/>
      <c r="M92" s="21"/>
      <c r="N92" s="21"/>
      <c r="O92" s="21"/>
      <c r="P92" s="21"/>
      <c r="Q92" s="21"/>
      <c r="R92" s="107"/>
      <c r="S92" s="107"/>
      <c r="T92" s="21"/>
      <c r="U92" s="21"/>
      <c r="V92" s="209"/>
      <c r="W92" s="21"/>
      <c r="Y92" s="21"/>
      <c r="Z92" s="199"/>
      <c r="AF92" s="256">
        <f>AF80-AD80</f>
        <v>-2150</v>
      </c>
      <c r="AG92" s="256">
        <f>AG80-AD80</f>
        <v>-2150</v>
      </c>
    </row>
    <row r="93" spans="1:49" ht="15">
      <c r="A93" s="56" t="s">
        <v>79</v>
      </c>
      <c r="B93" s="16">
        <v>49</v>
      </c>
      <c r="C93" s="15"/>
      <c r="D93" s="15"/>
      <c r="E93" s="15"/>
      <c r="F93" s="16">
        <v>100</v>
      </c>
      <c r="G93" s="15"/>
      <c r="H93" s="16">
        <v>50</v>
      </c>
      <c r="I93" s="16">
        <v>142</v>
      </c>
      <c r="J93" s="16"/>
      <c r="K93" s="16">
        <v>200</v>
      </c>
      <c r="L93" s="16">
        <v>395</v>
      </c>
      <c r="M93" s="16">
        <v>316</v>
      </c>
      <c r="N93" s="16">
        <v>350</v>
      </c>
      <c r="O93" s="16"/>
      <c r="P93" s="16">
        <v>200</v>
      </c>
      <c r="Q93" s="16">
        <v>200</v>
      </c>
      <c r="R93" s="105">
        <v>119</v>
      </c>
      <c r="S93" s="105">
        <v>119</v>
      </c>
      <c r="T93" s="16">
        <v>200</v>
      </c>
      <c r="U93" s="16">
        <v>189</v>
      </c>
      <c r="V93" s="105">
        <v>246</v>
      </c>
      <c r="W93" s="16">
        <v>201</v>
      </c>
      <c r="Y93" s="16">
        <v>200</v>
      </c>
      <c r="Z93" s="105">
        <v>61.25</v>
      </c>
      <c r="AA93" s="16">
        <v>75</v>
      </c>
      <c r="AD93" s="16">
        <v>75</v>
      </c>
      <c r="AE93" s="16">
        <v>0</v>
      </c>
      <c r="AF93" s="257" t="s">
        <v>244</v>
      </c>
      <c r="AG93" s="257" t="s">
        <v>244</v>
      </c>
      <c r="AH93" s="236"/>
      <c r="AI93" s="16">
        <v>75</v>
      </c>
      <c r="AJ93" s="16"/>
      <c r="AK93" s="16">
        <v>75</v>
      </c>
      <c r="AL93" s="16">
        <v>23</v>
      </c>
      <c r="AM93" s="16"/>
      <c r="AN93" s="16"/>
      <c r="AO93" s="236"/>
      <c r="AP93" s="16">
        <v>75</v>
      </c>
      <c r="AQ93" s="16">
        <v>75</v>
      </c>
      <c r="AR93" s="16">
        <v>59</v>
      </c>
      <c r="AS93" s="16">
        <v>60</v>
      </c>
      <c r="AT93" s="16">
        <v>76</v>
      </c>
      <c r="AU93" s="16">
        <v>75</v>
      </c>
      <c r="AV93" s="16">
        <v>20</v>
      </c>
      <c r="AW93" s="236"/>
    </row>
    <row r="94" spans="1:49" ht="15">
      <c r="A94" s="56" t="s">
        <v>80</v>
      </c>
      <c r="B94" s="15"/>
      <c r="C94" s="15"/>
      <c r="D94" s="15"/>
      <c r="E94" s="15"/>
      <c r="F94" s="15"/>
      <c r="G94" s="15"/>
      <c r="H94" s="16"/>
      <c r="I94" s="60">
        <v>346</v>
      </c>
      <c r="J94" s="60"/>
      <c r="K94" s="22">
        <v>200</v>
      </c>
      <c r="L94" s="22">
        <v>487</v>
      </c>
      <c r="M94" s="22">
        <v>234</v>
      </c>
      <c r="N94" s="22">
        <v>250</v>
      </c>
      <c r="O94" s="22"/>
      <c r="P94" s="22">
        <v>200</v>
      </c>
      <c r="Q94" s="22">
        <v>200</v>
      </c>
      <c r="R94" s="108">
        <v>698</v>
      </c>
      <c r="S94" s="108">
        <v>697</v>
      </c>
      <c r="T94" s="22">
        <v>200</v>
      </c>
      <c r="U94" s="22">
        <v>20</v>
      </c>
      <c r="V94" s="108">
        <v>94</v>
      </c>
      <c r="W94" s="22">
        <v>94</v>
      </c>
      <c r="Y94" s="22">
        <v>100</v>
      </c>
      <c r="Z94" s="108">
        <v>79.52</v>
      </c>
      <c r="AA94" s="22">
        <v>25</v>
      </c>
      <c r="AD94" s="22">
        <v>25</v>
      </c>
      <c r="AE94" s="22">
        <v>0</v>
      </c>
      <c r="AF94" s="22">
        <v>10</v>
      </c>
      <c r="AG94" s="22">
        <v>10</v>
      </c>
      <c r="AH94" s="243"/>
      <c r="AI94" s="22">
        <v>25</v>
      </c>
      <c r="AJ94" s="22">
        <v>21</v>
      </c>
      <c r="AK94" s="22">
        <v>25</v>
      </c>
      <c r="AL94" s="22">
        <v>21</v>
      </c>
      <c r="AM94" s="22"/>
      <c r="AN94" s="22"/>
      <c r="AO94" s="243"/>
      <c r="AP94" s="22">
        <v>25</v>
      </c>
      <c r="AQ94" s="22">
        <v>25</v>
      </c>
      <c r="AR94" s="22"/>
      <c r="AS94" s="22">
        <v>0</v>
      </c>
      <c r="AT94" s="22">
        <v>0</v>
      </c>
      <c r="AU94" s="22">
        <v>25</v>
      </c>
      <c r="AV94" s="22"/>
      <c r="AW94" s="243"/>
    </row>
    <row r="95" spans="1:49" ht="15">
      <c r="A95" s="56" t="s">
        <v>81</v>
      </c>
      <c r="B95" s="15"/>
      <c r="C95" s="15"/>
      <c r="D95" s="15"/>
      <c r="E95" s="15"/>
      <c r="F95" s="16">
        <v>170.16</v>
      </c>
      <c r="G95" s="15"/>
      <c r="H95" s="16">
        <v>25</v>
      </c>
      <c r="I95" s="16">
        <v>365</v>
      </c>
      <c r="J95" s="16"/>
      <c r="K95" s="16">
        <v>300</v>
      </c>
      <c r="L95" s="16">
        <v>43</v>
      </c>
      <c r="M95" s="16">
        <v>43</v>
      </c>
      <c r="N95" s="16">
        <v>100</v>
      </c>
      <c r="O95" s="16"/>
      <c r="P95" s="16">
        <v>300</v>
      </c>
      <c r="Q95" s="16">
        <v>300</v>
      </c>
      <c r="R95" s="105">
        <v>33</v>
      </c>
      <c r="S95" s="105">
        <v>250</v>
      </c>
      <c r="T95" s="16">
        <v>300</v>
      </c>
      <c r="U95" s="16"/>
      <c r="V95" s="105">
        <v>49</v>
      </c>
      <c r="W95" s="16"/>
      <c r="Y95" s="22">
        <v>100</v>
      </c>
      <c r="Z95" s="108">
        <v>70.87</v>
      </c>
      <c r="AA95" s="22">
        <v>150</v>
      </c>
      <c r="AD95" s="22">
        <v>150</v>
      </c>
      <c r="AE95" s="22">
        <v>136</v>
      </c>
      <c r="AF95" s="22">
        <v>653</v>
      </c>
      <c r="AG95" s="22">
        <v>653</v>
      </c>
      <c r="AH95" s="243"/>
      <c r="AI95" s="22">
        <v>350</v>
      </c>
      <c r="AJ95" s="22">
        <v>8</v>
      </c>
      <c r="AK95" s="22">
        <v>350</v>
      </c>
      <c r="AL95" s="22">
        <v>8</v>
      </c>
      <c r="AM95" s="22"/>
      <c r="AN95" s="22"/>
      <c r="AO95" s="243"/>
      <c r="AP95" s="22">
        <v>0</v>
      </c>
      <c r="AQ95" s="22">
        <v>300</v>
      </c>
      <c r="AR95" s="22"/>
      <c r="AS95" s="22">
        <v>0</v>
      </c>
      <c r="AT95" s="22">
        <v>0</v>
      </c>
      <c r="AU95" s="22">
        <v>150</v>
      </c>
      <c r="AV95" s="22"/>
      <c r="AW95" s="243"/>
    </row>
    <row r="96" spans="1:51" ht="15">
      <c r="A96" s="56" t="s">
        <v>82</v>
      </c>
      <c r="B96" s="15"/>
      <c r="C96" s="15"/>
      <c r="D96" s="15"/>
      <c r="E96" s="15"/>
      <c r="F96" s="15"/>
      <c r="G96" s="15"/>
      <c r="H96" s="15"/>
      <c r="I96" s="22">
        <v>396</v>
      </c>
      <c r="J96" s="22"/>
      <c r="K96" s="22">
        <v>400</v>
      </c>
      <c r="L96" s="40"/>
      <c r="N96" s="40"/>
      <c r="P96" s="22">
        <v>400</v>
      </c>
      <c r="Q96" s="22">
        <v>400</v>
      </c>
      <c r="R96" s="108">
        <v>26</v>
      </c>
      <c r="S96" s="108">
        <v>27</v>
      </c>
      <c r="T96" s="22">
        <v>400</v>
      </c>
      <c r="U96" s="22"/>
      <c r="V96" s="108"/>
      <c r="W96" s="22"/>
      <c r="Y96" s="22">
        <v>400</v>
      </c>
      <c r="Z96" s="108">
        <v>0</v>
      </c>
      <c r="AA96" s="22">
        <v>25</v>
      </c>
      <c r="AD96" s="22">
        <v>25</v>
      </c>
      <c r="AE96" s="22">
        <v>0</v>
      </c>
      <c r="AF96" s="22">
        <v>0</v>
      </c>
      <c r="AG96" s="22">
        <v>0</v>
      </c>
      <c r="AH96" s="243"/>
      <c r="AI96" s="22">
        <v>25</v>
      </c>
      <c r="AJ96" s="22"/>
      <c r="AK96" s="22">
        <v>25</v>
      </c>
      <c r="AL96" s="22">
        <v>0</v>
      </c>
      <c r="AM96" s="22"/>
      <c r="AN96" s="22"/>
      <c r="AO96" s="243"/>
      <c r="AP96" s="22">
        <v>25</v>
      </c>
      <c r="AQ96" s="22">
        <v>25</v>
      </c>
      <c r="AR96" s="22"/>
      <c r="AS96" s="22">
        <v>0</v>
      </c>
      <c r="AT96" s="22">
        <v>0</v>
      </c>
      <c r="AU96" s="22">
        <v>25</v>
      </c>
      <c r="AV96" s="22"/>
      <c r="AW96" s="243"/>
      <c r="AX96" s="266" t="s">
        <v>269</v>
      </c>
      <c r="AY96" s="153">
        <f>AY97-AY103</f>
        <v>37550</v>
      </c>
    </row>
    <row r="97" spans="1:52" ht="15">
      <c r="A97" s="56" t="s">
        <v>212</v>
      </c>
      <c r="B97" s="15"/>
      <c r="C97" s="15"/>
      <c r="D97" s="15"/>
      <c r="E97" s="15"/>
      <c r="F97" s="16">
        <v>5000</v>
      </c>
      <c r="G97" s="15"/>
      <c r="H97" s="61">
        <v>28000</v>
      </c>
      <c r="I97" s="61">
        <v>28000</v>
      </c>
      <c r="J97" s="22"/>
      <c r="K97" s="61">
        <v>30000</v>
      </c>
      <c r="L97" s="61">
        <v>30000</v>
      </c>
      <c r="M97" s="22">
        <v>27500</v>
      </c>
      <c r="N97" s="61">
        <v>30000</v>
      </c>
      <c r="O97" s="22"/>
      <c r="P97" s="61">
        <v>35000</v>
      </c>
      <c r="Q97" s="61">
        <v>35000</v>
      </c>
      <c r="R97" s="130">
        <v>35000</v>
      </c>
      <c r="S97" s="130">
        <v>35000</v>
      </c>
      <c r="T97" s="61">
        <v>40000</v>
      </c>
      <c r="U97" s="61">
        <v>26250</v>
      </c>
      <c r="V97" s="61">
        <v>26249</v>
      </c>
      <c r="W97" s="168">
        <v>26249</v>
      </c>
      <c r="X97" s="152" t="s">
        <v>198</v>
      </c>
      <c r="Y97" s="61">
        <v>37350</v>
      </c>
      <c r="Z97" s="275">
        <v>27160</v>
      </c>
      <c r="AA97" s="61">
        <v>27160</v>
      </c>
      <c r="AB97" s="153">
        <v>44476</v>
      </c>
      <c r="AD97" s="153">
        <f>AY97</f>
        <v>45240</v>
      </c>
      <c r="AE97" s="153">
        <v>29860</v>
      </c>
      <c r="AF97" s="153">
        <v>45240</v>
      </c>
      <c r="AG97" s="274">
        <v>37550</v>
      </c>
      <c r="AI97" s="269">
        <v>48660</v>
      </c>
      <c r="AJ97" s="153">
        <v>19855</v>
      </c>
      <c r="AK97" s="269">
        <v>23910</v>
      </c>
      <c r="AL97" s="274">
        <v>24036</v>
      </c>
      <c r="AM97" s="269"/>
      <c r="AN97" s="274"/>
      <c r="AP97" s="269">
        <v>0</v>
      </c>
      <c r="AQ97" s="274">
        <v>25000</v>
      </c>
      <c r="AR97" s="269">
        <v>6667</v>
      </c>
      <c r="AS97" s="274">
        <v>13993</v>
      </c>
      <c r="AT97" s="269">
        <v>6667</v>
      </c>
      <c r="AU97" s="274">
        <v>15000</v>
      </c>
      <c r="AV97" s="274">
        <v>7500</v>
      </c>
      <c r="AX97" s="218" t="s">
        <v>227</v>
      </c>
      <c r="AY97" s="217">
        <f>AY99+AY101</f>
        <v>45240</v>
      </c>
      <c r="AZ97" s="220"/>
    </row>
    <row r="98" spans="1:52" ht="15">
      <c r="A98" s="204" t="s">
        <v>285</v>
      </c>
      <c r="B98" s="16">
        <v>1000</v>
      </c>
      <c r="C98" s="15"/>
      <c r="D98" s="15"/>
      <c r="E98" s="15"/>
      <c r="F98" s="15"/>
      <c r="G98" s="15"/>
      <c r="H98" s="16">
        <v>-3000</v>
      </c>
      <c r="I98" s="16">
        <v>-3000</v>
      </c>
      <c r="J98" s="16"/>
      <c r="K98" s="22">
        <v>0</v>
      </c>
      <c r="L98" s="22"/>
      <c r="M98" s="22"/>
      <c r="N98" s="22"/>
      <c r="O98" s="22"/>
      <c r="P98" s="22">
        <v>0</v>
      </c>
      <c r="Q98" s="22">
        <v>0</v>
      </c>
      <c r="R98" s="108"/>
      <c r="S98" s="108"/>
      <c r="T98" s="22">
        <v>0</v>
      </c>
      <c r="U98" s="22">
        <v>0</v>
      </c>
      <c r="V98" s="108">
        <v>0</v>
      </c>
      <c r="W98" s="140" t="s">
        <v>201</v>
      </c>
      <c r="X98" s="40"/>
      <c r="Y98" s="16"/>
      <c r="Z98" s="105">
        <v>315</v>
      </c>
      <c r="AA98" s="16">
        <v>315</v>
      </c>
      <c r="AB98" s="188">
        <f>Y98</f>
        <v>0</v>
      </c>
      <c r="AD98" s="16">
        <v>315</v>
      </c>
      <c r="AE98" s="16">
        <v>0</v>
      </c>
      <c r="AF98" s="16"/>
      <c r="AG98" s="16"/>
      <c r="AH98" s="236"/>
      <c r="AI98" s="16">
        <v>315</v>
      </c>
      <c r="AJ98" s="16"/>
      <c r="AK98" s="16">
        <v>315</v>
      </c>
      <c r="AL98" s="16">
        <v>445</v>
      </c>
      <c r="AM98" s="16"/>
      <c r="AN98" s="16"/>
      <c r="AO98" s="236"/>
      <c r="AP98" s="16">
        <v>0</v>
      </c>
      <c r="AQ98" s="16">
        <v>325</v>
      </c>
      <c r="AR98" s="16">
        <v>545</v>
      </c>
      <c r="AS98" s="16">
        <v>652</v>
      </c>
      <c r="AT98" s="16">
        <v>545</v>
      </c>
      <c r="AU98" s="16">
        <v>550</v>
      </c>
      <c r="AV98" s="16"/>
      <c r="AW98" s="236"/>
      <c r="AX98" s="269">
        <f>AK97-AI97</f>
        <v>-24750</v>
      </c>
      <c r="AY98" s="270" t="s">
        <v>277</v>
      </c>
      <c r="AZ98" s="220">
        <f>AD97-AY97</f>
        <v>0</v>
      </c>
    </row>
    <row r="99" spans="1:51" ht="15">
      <c r="A99" s="56" t="s">
        <v>83</v>
      </c>
      <c r="B99" s="16"/>
      <c r="C99" s="15"/>
      <c r="D99" s="15"/>
      <c r="E99" s="15"/>
      <c r="F99" s="16"/>
      <c r="G99" s="15"/>
      <c r="H99" s="15">
        <v>0</v>
      </c>
      <c r="I99" s="22">
        <v>619</v>
      </c>
      <c r="K99" s="22">
        <v>100</v>
      </c>
      <c r="L99" s="22">
        <v>59</v>
      </c>
      <c r="M99" s="22">
        <v>59</v>
      </c>
      <c r="N99" s="22">
        <v>100</v>
      </c>
      <c r="O99" s="22"/>
      <c r="P99" s="22">
        <v>100</v>
      </c>
      <c r="Q99" s="22">
        <v>100</v>
      </c>
      <c r="R99" s="108">
        <v>295</v>
      </c>
      <c r="S99" s="108">
        <v>295</v>
      </c>
      <c r="T99" s="22">
        <v>100</v>
      </c>
      <c r="U99" s="22">
        <v>295</v>
      </c>
      <c r="V99" s="108">
        <v>295</v>
      </c>
      <c r="W99" s="22">
        <v>295</v>
      </c>
      <c r="Y99" s="22">
        <v>300</v>
      </c>
      <c r="Z99" s="108">
        <v>20</v>
      </c>
      <c r="AA99" s="22">
        <v>25</v>
      </c>
      <c r="AD99" s="22">
        <v>25</v>
      </c>
      <c r="AE99" s="22">
        <v>5</v>
      </c>
      <c r="AF99" s="22">
        <v>350</v>
      </c>
      <c r="AG99" s="22">
        <v>350</v>
      </c>
      <c r="AH99" s="243"/>
      <c r="AI99" s="22">
        <v>25</v>
      </c>
      <c r="AJ99" s="22"/>
      <c r="AK99" s="22">
        <v>25</v>
      </c>
      <c r="AL99" s="22">
        <v>0</v>
      </c>
      <c r="AM99" s="22"/>
      <c r="AN99" s="22"/>
      <c r="AO99" s="243"/>
      <c r="AP99" s="22">
        <v>0</v>
      </c>
      <c r="AQ99" s="22">
        <v>25</v>
      </c>
      <c r="AR99" s="22">
        <v>0</v>
      </c>
      <c r="AS99" s="22">
        <v>0</v>
      </c>
      <c r="AT99" s="22">
        <v>0</v>
      </c>
      <c r="AU99" s="22">
        <v>25</v>
      </c>
      <c r="AV99" s="22"/>
      <c r="AW99" s="243"/>
      <c r="AX99" s="145" t="s">
        <v>222</v>
      </c>
      <c r="AY99" s="153">
        <f>2*3395</f>
        <v>6790</v>
      </c>
    </row>
    <row r="100" spans="1:52" ht="15">
      <c r="A100" s="18" t="s">
        <v>84</v>
      </c>
      <c r="B100" s="15">
        <f>SUM(B93:B99)</f>
        <v>1049</v>
      </c>
      <c r="C100" s="10"/>
      <c r="D100" s="11"/>
      <c r="E100" s="11"/>
      <c r="F100" s="15">
        <f>SUM(F93:F99)</f>
        <v>5270.16</v>
      </c>
      <c r="G100" s="4"/>
      <c r="H100" s="15">
        <f>SUM(H93:H99)</f>
        <v>25075</v>
      </c>
      <c r="I100" s="15">
        <v>26868</v>
      </c>
      <c r="J100" s="15"/>
      <c r="K100" s="15">
        <f>SUM(K93:K99)</f>
        <v>31200</v>
      </c>
      <c r="L100" s="15">
        <f>SUM(L93:L99)</f>
        <v>30984</v>
      </c>
      <c r="M100" s="15">
        <f>SUM(M93:M99)</f>
        <v>28152</v>
      </c>
      <c r="N100" s="15">
        <f>SUM(N93:N99)</f>
        <v>30800</v>
      </c>
      <c r="O100" s="15"/>
      <c r="P100" s="15">
        <f aca="true" t="shared" si="23" ref="P100:W100">SUM(P93:P99)</f>
        <v>36200</v>
      </c>
      <c r="Q100" s="15">
        <f t="shared" si="23"/>
        <v>36200</v>
      </c>
      <c r="R100" s="15">
        <f t="shared" si="23"/>
        <v>36171</v>
      </c>
      <c r="S100" s="15">
        <f t="shared" si="23"/>
        <v>36388</v>
      </c>
      <c r="T100" s="15">
        <f t="shared" si="23"/>
        <v>41200</v>
      </c>
      <c r="U100" s="15">
        <f t="shared" si="23"/>
        <v>26754</v>
      </c>
      <c r="V100" s="15">
        <f>SUM(V93:V99)</f>
        <v>26933</v>
      </c>
      <c r="W100" s="15">
        <f t="shared" si="23"/>
        <v>26839</v>
      </c>
      <c r="Y100" s="15">
        <f>SUM(Y93:Y99)</f>
        <v>38450</v>
      </c>
      <c r="Z100" s="15">
        <f>SUM(Z93:Z99)</f>
        <v>27706.64</v>
      </c>
      <c r="AA100" s="15">
        <f>SUM(AA93:AA99)</f>
        <v>27775</v>
      </c>
      <c r="AB100" s="151">
        <f>SUM(AB92:AB99)</f>
        <v>44476</v>
      </c>
      <c r="AC100" s="210"/>
      <c r="AD100" s="15">
        <f aca="true" t="shared" si="24" ref="AD100:AJ100">SUM(AD93:AD99)</f>
        <v>45855</v>
      </c>
      <c r="AE100" s="15">
        <f t="shared" si="24"/>
        <v>30001</v>
      </c>
      <c r="AF100" s="15">
        <f t="shared" si="24"/>
        <v>46253</v>
      </c>
      <c r="AG100" s="15">
        <f t="shared" si="24"/>
        <v>38563</v>
      </c>
      <c r="AH100" s="237"/>
      <c r="AI100" s="15">
        <f t="shared" si="24"/>
        <v>49475</v>
      </c>
      <c r="AJ100" s="15">
        <f t="shared" si="24"/>
        <v>19884</v>
      </c>
      <c r="AK100" s="15">
        <f>SUM(AK93:AK99)</f>
        <v>24725</v>
      </c>
      <c r="AL100" s="15">
        <f>SUM(AL93:AL99)</f>
        <v>24533</v>
      </c>
      <c r="AM100" s="15"/>
      <c r="AN100" s="15">
        <v>0</v>
      </c>
      <c r="AO100" s="237"/>
      <c r="AP100" s="15">
        <f aca="true" t="shared" si="25" ref="AP100:AV100">SUM(AP93:AP99)</f>
        <v>125</v>
      </c>
      <c r="AQ100" s="15">
        <f t="shared" si="25"/>
        <v>25775</v>
      </c>
      <c r="AR100" s="15">
        <f t="shared" si="25"/>
        <v>7271</v>
      </c>
      <c r="AS100" s="15">
        <f t="shared" si="25"/>
        <v>14705</v>
      </c>
      <c r="AT100" s="15">
        <f t="shared" si="25"/>
        <v>7288</v>
      </c>
      <c r="AU100" s="15">
        <f t="shared" si="25"/>
        <v>15850</v>
      </c>
      <c r="AV100" s="15">
        <f t="shared" si="25"/>
        <v>7520</v>
      </c>
      <c r="AW100" s="237"/>
      <c r="AX100" s="145" t="s">
        <v>223</v>
      </c>
      <c r="AY100" s="216">
        <f>10*4614</f>
        <v>46140</v>
      </c>
      <c r="AZ100" t="s">
        <v>224</v>
      </c>
    </row>
    <row r="101" spans="1:52" ht="15">
      <c r="A101" s="62" t="s">
        <v>85</v>
      </c>
      <c r="B101" s="63">
        <f>B80+B90+B100</f>
        <v>11792.79</v>
      </c>
      <c r="C101" s="64"/>
      <c r="D101" s="65"/>
      <c r="E101" s="65"/>
      <c r="F101" s="63">
        <f>F80+F90+F100</f>
        <v>20449.6</v>
      </c>
      <c r="G101" s="66"/>
      <c r="H101" s="63">
        <f>H80+H90+H100</f>
        <v>35475</v>
      </c>
      <c r="I101" s="63">
        <f>I80+I90+I100</f>
        <v>32570</v>
      </c>
      <c r="J101" s="63"/>
      <c r="K101" s="63">
        <f>K80+K90+K100</f>
        <v>38350</v>
      </c>
      <c r="L101" s="63">
        <f>L80+L90+L100</f>
        <v>35620</v>
      </c>
      <c r="M101" s="63">
        <f>M80+M90+M100</f>
        <v>31788</v>
      </c>
      <c r="N101" s="63">
        <f>N80+N90+N100</f>
        <v>35500</v>
      </c>
      <c r="O101" s="63"/>
      <c r="P101" s="63">
        <f aca="true" t="shared" si="26" ref="P101:W101">P80+P90+P100</f>
        <v>43350</v>
      </c>
      <c r="Q101" s="63">
        <f t="shared" si="26"/>
        <v>43350</v>
      </c>
      <c r="R101" s="63">
        <f t="shared" si="26"/>
        <v>41532</v>
      </c>
      <c r="S101" s="63">
        <f t="shared" si="26"/>
        <v>41756</v>
      </c>
      <c r="T101" s="63">
        <f t="shared" si="26"/>
        <v>48600</v>
      </c>
      <c r="U101" s="63">
        <f t="shared" si="26"/>
        <v>28099</v>
      </c>
      <c r="V101" s="63">
        <f>V80+V90+V100</f>
        <v>30278</v>
      </c>
      <c r="W101" s="63">
        <f t="shared" si="26"/>
        <v>30184</v>
      </c>
      <c r="Y101" s="63">
        <f>Y80+Y90+Y100</f>
        <v>41600</v>
      </c>
      <c r="Z101" s="63">
        <f>Z80+Z90+Z100</f>
        <v>29856.64</v>
      </c>
      <c r="AA101" s="63">
        <f>AA80+AA90+AA100</f>
        <v>30925</v>
      </c>
      <c r="AB101" s="154">
        <f>AB90+AB100</f>
        <v>44476</v>
      </c>
      <c r="AC101" s="210"/>
      <c r="AD101" s="63">
        <f aca="true" t="shared" si="27" ref="AD101:AJ101">AD80+AD90+AD100</f>
        <v>49005</v>
      </c>
      <c r="AE101" s="63">
        <f t="shared" si="27"/>
        <v>30001</v>
      </c>
      <c r="AF101" s="63">
        <f t="shared" si="27"/>
        <v>47253</v>
      </c>
      <c r="AG101" s="63">
        <f t="shared" si="27"/>
        <v>39563</v>
      </c>
      <c r="AH101" s="244"/>
      <c r="AI101" s="63">
        <f t="shared" si="27"/>
        <v>50475</v>
      </c>
      <c r="AJ101" s="63">
        <f t="shared" si="27"/>
        <v>21884</v>
      </c>
      <c r="AK101" s="63">
        <f>AK80+AK90+AK100</f>
        <v>26725</v>
      </c>
      <c r="AL101" s="63">
        <f>AL80+AL90+AL100</f>
        <v>26533</v>
      </c>
      <c r="AM101" s="63"/>
      <c r="AN101" s="63">
        <f>AN80+AN90+AN100</f>
        <v>0</v>
      </c>
      <c r="AO101" s="244"/>
      <c r="AP101" s="63">
        <f aca="true" t="shared" si="28" ref="AP101:AU101">AP80+AP90+AP100</f>
        <v>125</v>
      </c>
      <c r="AQ101" s="63">
        <f t="shared" si="28"/>
        <v>26775</v>
      </c>
      <c r="AR101" s="63">
        <f t="shared" si="28"/>
        <v>7271</v>
      </c>
      <c r="AS101" s="63">
        <f t="shared" si="28"/>
        <v>14705</v>
      </c>
      <c r="AT101" s="63">
        <f t="shared" si="28"/>
        <v>7288</v>
      </c>
      <c r="AU101" s="63">
        <f t="shared" si="28"/>
        <v>15850</v>
      </c>
      <c r="AV101" s="63">
        <f>AV80+AV90+AV100</f>
        <v>7520</v>
      </c>
      <c r="AW101" s="244"/>
      <c r="AX101" s="145" t="s">
        <v>226</v>
      </c>
      <c r="AY101" s="219">
        <f>10*3845</f>
        <v>38450</v>
      </c>
      <c r="AZ101" t="s">
        <v>225</v>
      </c>
    </row>
    <row r="102" spans="1:53" ht="15">
      <c r="A102" s="18"/>
      <c r="B102" s="15"/>
      <c r="C102" s="10"/>
      <c r="D102" s="11"/>
      <c r="E102" s="11"/>
      <c r="F102" s="15"/>
      <c r="G102" s="4"/>
      <c r="H102" s="15"/>
      <c r="K102" s="51"/>
      <c r="L102" s="51"/>
      <c r="M102" s="51"/>
      <c r="N102" s="51"/>
      <c r="O102" s="51"/>
      <c r="P102" s="51"/>
      <c r="Q102" s="51"/>
      <c r="R102" s="109"/>
      <c r="S102" s="109"/>
      <c r="T102" s="51"/>
      <c r="U102" s="51"/>
      <c r="V102" s="109"/>
      <c r="W102" s="51"/>
      <c r="Y102" s="51"/>
      <c r="Z102" s="199"/>
      <c r="AD102" s="138"/>
      <c r="AE102" s="138"/>
      <c r="AF102" s="138"/>
      <c r="AG102" s="138"/>
      <c r="AI102" s="138"/>
      <c r="AJ102" s="138"/>
      <c r="AK102" s="138"/>
      <c r="AL102" s="138"/>
      <c r="AM102" s="138"/>
      <c r="AN102" s="138"/>
      <c r="AP102" s="138"/>
      <c r="AQ102" s="138"/>
      <c r="AR102" s="138"/>
      <c r="AS102" s="138"/>
      <c r="AT102" s="138"/>
      <c r="AU102" s="138"/>
      <c r="AV102" s="138"/>
      <c r="AX102" s="260" t="s">
        <v>260</v>
      </c>
      <c r="AY102" s="261">
        <f>AY103+AY104</f>
        <v>48240</v>
      </c>
      <c r="AZ102" s="262" t="s">
        <v>262</v>
      </c>
      <c r="BA102" s="261">
        <f>AY103+BA104</f>
        <v>19855</v>
      </c>
    </row>
    <row r="103" spans="1:53" ht="15">
      <c r="A103" s="24" t="s">
        <v>86</v>
      </c>
      <c r="B103" s="15">
        <f>B66-B101</f>
        <v>-3239.34</v>
      </c>
      <c r="C103" s="10"/>
      <c r="D103" s="11"/>
      <c r="E103" s="11"/>
      <c r="F103" s="15">
        <f>F66-F101</f>
        <v>92469.66</v>
      </c>
      <c r="G103" s="4"/>
      <c r="H103" s="63">
        <f>H66-H101</f>
        <v>-7211</v>
      </c>
      <c r="I103" s="15">
        <f>I66-I101</f>
        <v>7487</v>
      </c>
      <c r="J103" s="15"/>
      <c r="K103" s="67">
        <f>K66-K101</f>
        <v>-3550</v>
      </c>
      <c r="L103" s="67">
        <f>L66-L101</f>
        <v>-2122</v>
      </c>
      <c r="M103" s="67">
        <f>M66-M101</f>
        <v>-9191</v>
      </c>
      <c r="N103" s="67">
        <f>N66-N101</f>
        <v>-2052</v>
      </c>
      <c r="O103" s="67"/>
      <c r="P103" s="67">
        <f aca="true" t="shared" si="29" ref="P103:W103">P66-P101</f>
        <v>-5525</v>
      </c>
      <c r="Q103" s="67">
        <f t="shared" si="29"/>
        <v>-8075</v>
      </c>
      <c r="R103" s="67">
        <f t="shared" si="29"/>
        <v>-14179</v>
      </c>
      <c r="S103" s="67">
        <f t="shared" si="29"/>
        <v>-11330</v>
      </c>
      <c r="T103" s="67">
        <f t="shared" si="29"/>
        <v>-16950</v>
      </c>
      <c r="U103" s="67">
        <f t="shared" si="29"/>
        <v>-11073</v>
      </c>
      <c r="V103" s="67">
        <f>V66-V101</f>
        <v>-3167</v>
      </c>
      <c r="W103" s="67">
        <f t="shared" si="29"/>
        <v>-4098</v>
      </c>
      <c r="Y103" s="67">
        <f>Y66-Y101</f>
        <v>2775</v>
      </c>
      <c r="Z103" s="276">
        <f>Z66-Z101</f>
        <v>-1473.3799999999974</v>
      </c>
      <c r="AA103" s="67">
        <f>AA66-AA101</f>
        <v>-951</v>
      </c>
      <c r="AB103" s="67">
        <f>AB66-AB101</f>
        <v>-9826</v>
      </c>
      <c r="AC103" s="223"/>
      <c r="AD103" s="67">
        <f aca="true" t="shared" si="30" ref="AD103:AJ103">AD66-AD101</f>
        <v>-247</v>
      </c>
      <c r="AE103" s="67">
        <f t="shared" si="30"/>
        <v>-2055</v>
      </c>
      <c r="AF103" s="67">
        <f t="shared" si="30"/>
        <v>-11192</v>
      </c>
      <c r="AG103" s="276">
        <f t="shared" si="30"/>
        <v>-2326</v>
      </c>
      <c r="AH103" s="245"/>
      <c r="AI103" s="67">
        <f t="shared" si="30"/>
        <v>680</v>
      </c>
      <c r="AJ103" s="67">
        <f t="shared" si="30"/>
        <v>8686</v>
      </c>
      <c r="AK103" s="67">
        <f>AK66-AK101</f>
        <v>7095</v>
      </c>
      <c r="AL103" s="276">
        <f>AL66-AL101</f>
        <v>2478</v>
      </c>
      <c r="AM103" s="67"/>
      <c r="AN103" s="276">
        <f>AN66-AN101</f>
        <v>21209</v>
      </c>
      <c r="AO103" s="245"/>
      <c r="AP103" s="67">
        <f aca="true" t="shared" si="31" ref="AP103:AU103">AP66-AP101</f>
        <v>24577</v>
      </c>
      <c r="AQ103" s="276">
        <f t="shared" si="31"/>
        <v>2054</v>
      </c>
      <c r="AR103" s="67">
        <f t="shared" si="31"/>
        <v>149</v>
      </c>
      <c r="AS103" s="276">
        <f t="shared" si="31"/>
        <v>17629</v>
      </c>
      <c r="AT103" s="67">
        <f t="shared" si="31"/>
        <v>21887</v>
      </c>
      <c r="AU103" s="276">
        <f t="shared" si="31"/>
        <v>11329</v>
      </c>
      <c r="AV103" s="276">
        <f>AV66-AV101</f>
        <v>-2783</v>
      </c>
      <c r="AW103" s="245"/>
      <c r="AX103" s="145" t="s">
        <v>258</v>
      </c>
      <c r="AY103" s="153">
        <f>2*3845</f>
        <v>7690</v>
      </c>
      <c r="AZ103" s="262" t="s">
        <v>276</v>
      </c>
      <c r="BA103" s="138">
        <f>BA102+4055</f>
        <v>23910</v>
      </c>
    </row>
    <row r="104" spans="1:53" ht="15.75">
      <c r="A104" s="273" t="s">
        <v>291</v>
      </c>
      <c r="B104" s="15"/>
      <c r="C104" s="10"/>
      <c r="D104" s="11"/>
      <c r="E104" s="11"/>
      <c r="F104" s="16">
        <f>F103-F60</f>
        <v>7469.6600000000035</v>
      </c>
      <c r="G104" s="4"/>
      <c r="H104" s="16">
        <f>H103-H60</f>
        <v>-7211</v>
      </c>
      <c r="I104" s="63">
        <f>I103-I60</f>
        <v>-2573</v>
      </c>
      <c r="J104" s="63"/>
      <c r="K104" s="63">
        <f>K103-K60</f>
        <v>-3550</v>
      </c>
      <c r="L104" s="63">
        <f>L103-L60</f>
        <v>-2122</v>
      </c>
      <c r="M104" s="63">
        <f>M103-M60</f>
        <v>-9191</v>
      </c>
      <c r="N104" s="63">
        <f>N103-N60</f>
        <v>-2052</v>
      </c>
      <c r="O104" s="128" t="s">
        <v>151</v>
      </c>
      <c r="P104" s="126">
        <f aca="true" t="shared" si="32" ref="P104:W104">P19+P34+P51+P101</f>
        <v>56450</v>
      </c>
      <c r="Q104" s="126">
        <f t="shared" si="32"/>
        <v>50200</v>
      </c>
      <c r="R104" s="126">
        <f t="shared" si="32"/>
        <v>43547</v>
      </c>
      <c r="S104" s="126">
        <f t="shared" si="32"/>
        <v>43770</v>
      </c>
      <c r="T104" s="126">
        <f t="shared" si="32"/>
        <v>51000</v>
      </c>
      <c r="U104" s="126">
        <f t="shared" si="32"/>
        <v>32829</v>
      </c>
      <c r="V104" s="126">
        <f>V19+V34+V51+V101</f>
        <v>35008</v>
      </c>
      <c r="W104" s="126">
        <f t="shared" si="32"/>
        <v>34914</v>
      </c>
      <c r="X104" s="137" t="s">
        <v>158</v>
      </c>
      <c r="Y104" s="126">
        <f>Y19+Y34+Y51+Y101</f>
        <v>51850</v>
      </c>
      <c r="Z104" s="126">
        <f>Z19+Z34+Z51+Z101</f>
        <v>35112.64</v>
      </c>
      <c r="AA104" s="126">
        <f>AA19+AA34+AA51+AA101</f>
        <v>36181</v>
      </c>
      <c r="AD104" s="126">
        <f aca="true" t="shared" si="33" ref="AD104:AJ104">AD19+AD34+AD51+AD101</f>
        <v>62970</v>
      </c>
      <c r="AE104" s="126">
        <f t="shared" si="33"/>
        <v>46301</v>
      </c>
      <c r="AF104" s="126">
        <f t="shared" si="33"/>
        <v>64131</v>
      </c>
      <c r="AG104" s="126">
        <f t="shared" si="33"/>
        <v>56441</v>
      </c>
      <c r="AH104" s="246"/>
      <c r="AI104" s="126">
        <f t="shared" si="33"/>
        <v>64440</v>
      </c>
      <c r="AJ104" s="126">
        <f t="shared" si="33"/>
        <v>35491</v>
      </c>
      <c r="AK104" s="126">
        <f>AK19+AK34+AK51+AK101</f>
        <v>40330</v>
      </c>
      <c r="AL104" s="126">
        <f>AL19+AL34+AL51+AL101</f>
        <v>43885</v>
      </c>
      <c r="AM104" s="126"/>
      <c r="AN104" s="126">
        <f>AN19+AN34+AN51+AN101</f>
        <v>10734</v>
      </c>
      <c r="AO104" s="246"/>
      <c r="AP104" s="126">
        <f aca="true" t="shared" si="34" ref="AP104:AU104">AP19+AP34+AP51+AP101</f>
        <v>10718</v>
      </c>
      <c r="AQ104" s="126">
        <f t="shared" si="34"/>
        <v>41296</v>
      </c>
      <c r="AR104" s="126">
        <f t="shared" si="34"/>
        <v>7271</v>
      </c>
      <c r="AS104" s="126">
        <f t="shared" si="34"/>
        <v>25648</v>
      </c>
      <c r="AT104" s="126">
        <f t="shared" si="34"/>
        <v>21809</v>
      </c>
      <c r="AU104" s="126">
        <f t="shared" si="34"/>
        <v>30371</v>
      </c>
      <c r="AV104" s="126">
        <f>AV19+AV34+AV51+AV101</f>
        <v>7520</v>
      </c>
      <c r="AW104" s="246"/>
      <c r="AX104" s="145" t="s">
        <v>259</v>
      </c>
      <c r="AY104" s="219">
        <f>10*4055</f>
        <v>40550</v>
      </c>
      <c r="AZ104" s="145" t="s">
        <v>261</v>
      </c>
      <c r="BA104" s="219">
        <f>3*4055</f>
        <v>12165</v>
      </c>
    </row>
    <row r="105" spans="1:53" s="40" customFormat="1" ht="15">
      <c r="A105" s="57" t="s">
        <v>197</v>
      </c>
      <c r="B105" s="58"/>
      <c r="C105" s="68"/>
      <c r="D105" s="69"/>
      <c r="E105" s="69"/>
      <c r="F105" s="59"/>
      <c r="G105" s="70"/>
      <c r="H105" s="59"/>
      <c r="I105" s="127">
        <f>I104+I77</f>
        <v>-5573</v>
      </c>
      <c r="J105" s="59"/>
      <c r="K105" s="127">
        <f>K104+K77</f>
        <v>-6550</v>
      </c>
      <c r="L105" s="127">
        <f>L104+L77</f>
        <v>-6122</v>
      </c>
      <c r="M105" s="127">
        <f>M104+M77</f>
        <v>-11191</v>
      </c>
      <c r="N105" s="127">
        <f>N104+N77</f>
        <v>-5052</v>
      </c>
      <c r="O105" s="71"/>
      <c r="P105" s="71"/>
      <c r="Q105" s="127">
        <f>Q103+Q77</f>
        <v>-11075</v>
      </c>
      <c r="R105" s="127">
        <f>R103+R77</f>
        <v>-17179</v>
      </c>
      <c r="S105" s="127">
        <f>S103+S77</f>
        <v>-14330</v>
      </c>
      <c r="T105" s="127">
        <f>T103+T77</f>
        <v>-19950</v>
      </c>
      <c r="U105" s="127">
        <f>U103+U77</f>
        <v>-11073</v>
      </c>
      <c r="V105" s="127">
        <f>V103+V77+V76</f>
        <v>-7167</v>
      </c>
      <c r="W105" s="127">
        <f>W103+W77+W76</f>
        <v>-8098</v>
      </c>
      <c r="Y105" s="127">
        <f>Y103+Y77+Y76</f>
        <v>-1225</v>
      </c>
      <c r="Z105" s="127">
        <f>Z103+Z77+Z76-Z56</f>
        <v>-6328.379999999997</v>
      </c>
      <c r="AA105" s="127">
        <f>AA103+AA77+AA76-AA56</f>
        <v>-7651</v>
      </c>
      <c r="AB105" s="116"/>
      <c r="AC105" s="116"/>
      <c r="AD105" s="127">
        <f>AD103+AD77+AD76</f>
        <v>-3247</v>
      </c>
      <c r="AE105" s="127">
        <f>AE103+AE77+AE76</f>
        <v>-2055</v>
      </c>
      <c r="AF105" s="127">
        <f>AF103+AF77+AF76</f>
        <v>-11192</v>
      </c>
      <c r="AG105" s="127">
        <f>AG103+AG77-AG57</f>
        <v>-3501</v>
      </c>
      <c r="AH105" s="247"/>
      <c r="AI105" s="127">
        <f>AI103+AI77+AI76</f>
        <v>680</v>
      </c>
      <c r="AJ105" s="127">
        <f>AJ103+AJ77+AJ76</f>
        <v>8686</v>
      </c>
      <c r="AK105" s="127">
        <f>AK103+AK77+AK76</f>
        <v>7095</v>
      </c>
      <c r="AL105" s="127"/>
      <c r="AM105" s="127"/>
      <c r="AN105" s="127"/>
      <c r="AO105" s="247"/>
      <c r="AP105" s="127">
        <f>AP103+AP77+AP76</f>
        <v>24577</v>
      </c>
      <c r="AQ105" s="127"/>
      <c r="AR105" s="127"/>
      <c r="AS105" s="127"/>
      <c r="AT105" s="127"/>
      <c r="AU105" s="127"/>
      <c r="AV105" s="127"/>
      <c r="AW105" s="247"/>
      <c r="AX105" s="116"/>
      <c r="AY105" s="116"/>
      <c r="BA105" s="116"/>
    </row>
    <row r="106" spans="1:53" ht="15">
      <c r="A106" s="18"/>
      <c r="B106" s="15"/>
      <c r="C106" s="10"/>
      <c r="D106" s="11"/>
      <c r="E106" s="11"/>
      <c r="F106" s="16"/>
      <c r="G106" s="4"/>
      <c r="H106" s="16"/>
      <c r="V106" s="110"/>
      <c r="W106" s="195">
        <v>-6542</v>
      </c>
      <c r="AE106" s="255" t="s">
        <v>245</v>
      </c>
      <c r="AF106" s="217">
        <f>3*3845</f>
        <v>11535</v>
      </c>
      <c r="AM106" s="255" t="s">
        <v>289</v>
      </c>
      <c r="AN106" s="154">
        <f>AL103+AN103</f>
        <v>23687</v>
      </c>
      <c r="AY106" s="261">
        <f>AI97</f>
        <v>48660</v>
      </c>
      <c r="AZ106" s="267">
        <f>AY106-AY102</f>
        <v>420</v>
      </c>
      <c r="BA106" s="268" t="s">
        <v>270</v>
      </c>
    </row>
    <row r="107" spans="1:33" ht="15">
      <c r="A107" s="18"/>
      <c r="B107" s="15"/>
      <c r="C107" s="10"/>
      <c r="D107" s="11"/>
      <c r="E107" s="11"/>
      <c r="F107" s="16"/>
      <c r="G107" s="4"/>
      <c r="H107" s="15"/>
      <c r="V107" s="110"/>
      <c r="AE107" s="210" t="s">
        <v>247</v>
      </c>
      <c r="AF107" s="256">
        <f>AF103+AF106</f>
        <v>343</v>
      </c>
      <c r="AG107" s="210"/>
    </row>
    <row r="108" spans="1:48" ht="15">
      <c r="A108" s="25" t="s">
        <v>87</v>
      </c>
      <c r="B108" s="25" t="s">
        <v>88</v>
      </c>
      <c r="C108" s="72"/>
      <c r="D108" s="25" t="s">
        <v>89</v>
      </c>
      <c r="F108" s="25" t="s">
        <v>88</v>
      </c>
      <c r="G108" s="34"/>
      <c r="H108" s="25" t="s">
        <v>89</v>
      </c>
      <c r="I108" s="25" t="s">
        <v>88</v>
      </c>
      <c r="J108" s="14"/>
      <c r="K108" s="25" t="s">
        <v>89</v>
      </c>
      <c r="L108" s="111" t="s">
        <v>88</v>
      </c>
      <c r="M108" s="25"/>
      <c r="N108" s="25" t="s">
        <v>145</v>
      </c>
      <c r="O108" s="14"/>
      <c r="P108" s="25" t="s">
        <v>89</v>
      </c>
      <c r="Q108" s="25" t="s">
        <v>89</v>
      </c>
      <c r="R108" s="111" t="s">
        <v>88</v>
      </c>
      <c r="S108" s="111" t="s">
        <v>88</v>
      </c>
      <c r="T108" s="25" t="s">
        <v>89</v>
      </c>
      <c r="U108" s="25"/>
      <c r="V108" s="111" t="s">
        <v>88</v>
      </c>
      <c r="W108" s="25"/>
      <c r="Y108" s="25" t="s">
        <v>89</v>
      </c>
      <c r="Z108" s="111" t="s">
        <v>88</v>
      </c>
      <c r="AD108" s="25" t="s">
        <v>89</v>
      </c>
      <c r="AE108" s="255" t="s">
        <v>246</v>
      </c>
      <c r="AF108" s="217">
        <f>2*3845</f>
        <v>7690</v>
      </c>
      <c r="AI108" s="25" t="s">
        <v>89</v>
      </c>
      <c r="AJ108" s="25"/>
      <c r="AK108" s="25"/>
      <c r="AL108" s="25"/>
      <c r="AM108" s="25"/>
      <c r="AN108" s="25"/>
      <c r="AP108" s="25"/>
      <c r="AQ108" s="25"/>
      <c r="AR108" s="25"/>
      <c r="AS108" s="25"/>
      <c r="AT108" s="25"/>
      <c r="AU108" s="25"/>
      <c r="AV108" s="25"/>
    </row>
    <row r="109" spans="1:48" ht="15">
      <c r="A109" s="5" t="s">
        <v>90</v>
      </c>
      <c r="B109" s="73">
        <v>2166</v>
      </c>
      <c r="C109" s="73"/>
      <c r="D109" s="74">
        <v>2000</v>
      </c>
      <c r="F109" s="73">
        <v>3300</v>
      </c>
      <c r="G109" s="34"/>
      <c r="H109" s="74">
        <v>3000</v>
      </c>
      <c r="I109" s="73"/>
      <c r="J109" s="73"/>
      <c r="K109" s="74">
        <v>1750</v>
      </c>
      <c r="L109" s="112"/>
      <c r="M109" s="73"/>
      <c r="N109" s="73">
        <v>1750</v>
      </c>
      <c r="O109" s="73"/>
      <c r="P109" s="74">
        <v>1750</v>
      </c>
      <c r="Q109" s="74">
        <v>1750</v>
      </c>
      <c r="R109" s="112"/>
      <c r="S109" s="112"/>
      <c r="T109" s="74">
        <v>0</v>
      </c>
      <c r="U109" s="74"/>
      <c r="V109" s="112"/>
      <c r="W109" s="74"/>
      <c r="Y109" s="74"/>
      <c r="Z109" s="112"/>
      <c r="AD109" s="74"/>
      <c r="AE109" s="210" t="s">
        <v>247</v>
      </c>
      <c r="AF109" s="256">
        <f>AF103+AF108</f>
        <v>-3502</v>
      </c>
      <c r="AG109" s="210"/>
      <c r="AI109" s="74"/>
      <c r="AJ109" s="74"/>
      <c r="AK109" s="74"/>
      <c r="AL109" s="74"/>
      <c r="AM109" s="74"/>
      <c r="AN109" s="74"/>
      <c r="AP109" s="74"/>
      <c r="AQ109" s="74"/>
      <c r="AR109" s="74"/>
      <c r="AS109" s="74"/>
      <c r="AT109" s="74"/>
      <c r="AU109" s="74"/>
      <c r="AV109" s="74"/>
    </row>
    <row r="110" spans="1:48" ht="15">
      <c r="A110" s="5" t="s">
        <v>91</v>
      </c>
      <c r="B110" s="73"/>
      <c r="C110" s="72"/>
      <c r="D110" s="74"/>
      <c r="F110" s="73"/>
      <c r="G110" s="34"/>
      <c r="H110" s="74" t="s">
        <v>92</v>
      </c>
      <c r="I110" s="22"/>
      <c r="J110" s="22"/>
      <c r="K110" s="74" t="s">
        <v>92</v>
      </c>
      <c r="L110" s="112">
        <v>779</v>
      </c>
      <c r="M110" s="73"/>
      <c r="N110" s="73"/>
      <c r="O110" s="73"/>
      <c r="P110" s="74" t="s">
        <v>92</v>
      </c>
      <c r="Q110" s="74" t="s">
        <v>92</v>
      </c>
      <c r="R110" s="112"/>
      <c r="S110" s="112"/>
      <c r="T110" s="74"/>
      <c r="U110" s="74"/>
      <c r="V110" s="112"/>
      <c r="W110" s="74"/>
      <c r="Y110" s="74"/>
      <c r="Z110" s="112"/>
      <c r="AD110" s="74"/>
      <c r="AF110" s="111" t="s">
        <v>88</v>
      </c>
      <c r="AI110" s="74"/>
      <c r="AJ110" s="74"/>
      <c r="AK110" s="74"/>
      <c r="AL110" s="74"/>
      <c r="AM110" s="74"/>
      <c r="AN110" s="74"/>
      <c r="AP110" s="74"/>
      <c r="AQ110" s="74"/>
      <c r="AR110" s="74"/>
      <c r="AS110" s="74"/>
      <c r="AT110" s="74"/>
      <c r="AU110" s="74"/>
      <c r="AV110" s="74"/>
    </row>
    <row r="111" spans="1:48" ht="15">
      <c r="A111" s="5" t="s">
        <v>93</v>
      </c>
      <c r="B111" s="73">
        <v>1950</v>
      </c>
      <c r="C111" s="72"/>
      <c r="D111" s="74">
        <v>1000</v>
      </c>
      <c r="F111" s="73">
        <v>50</v>
      </c>
      <c r="G111" s="34"/>
      <c r="H111" s="74"/>
      <c r="I111" s="22"/>
      <c r="J111" s="22"/>
      <c r="K111" s="74"/>
      <c r="L111" s="112"/>
      <c r="M111" s="73"/>
      <c r="N111" s="73"/>
      <c r="O111" s="73"/>
      <c r="P111" s="74"/>
      <c r="Q111" s="74"/>
      <c r="R111" s="112"/>
      <c r="S111" s="112"/>
      <c r="T111" s="74"/>
      <c r="U111" s="74"/>
      <c r="V111" s="112"/>
      <c r="W111" s="74"/>
      <c r="Y111" s="74"/>
      <c r="Z111" s="112"/>
      <c r="AD111" s="74"/>
      <c r="AF111" s="112"/>
      <c r="AI111" s="74"/>
      <c r="AJ111" s="74"/>
      <c r="AK111" s="74"/>
      <c r="AL111" s="74"/>
      <c r="AM111" s="74"/>
      <c r="AN111" s="74"/>
      <c r="AP111" s="74"/>
      <c r="AQ111" s="74"/>
      <c r="AR111" s="74"/>
      <c r="AS111" s="74"/>
      <c r="AT111" s="74"/>
      <c r="AU111" s="74"/>
      <c r="AV111" s="74"/>
    </row>
    <row r="112" spans="1:48" ht="15">
      <c r="A112" s="5" t="s">
        <v>94</v>
      </c>
      <c r="B112" s="73">
        <v>1411</v>
      </c>
      <c r="C112" s="73"/>
      <c r="D112" s="74"/>
      <c r="F112" s="73">
        <v>395</v>
      </c>
      <c r="G112" s="34"/>
      <c r="H112" s="74"/>
      <c r="I112" s="22"/>
      <c r="J112" s="22"/>
      <c r="K112" s="74"/>
      <c r="L112" s="112"/>
      <c r="M112" s="73"/>
      <c r="N112" s="73"/>
      <c r="O112" s="73"/>
      <c r="P112" s="74"/>
      <c r="Q112" s="74"/>
      <c r="R112" s="112"/>
      <c r="S112" s="112"/>
      <c r="T112" s="74"/>
      <c r="U112" s="74"/>
      <c r="V112" s="112"/>
      <c r="W112" s="74"/>
      <c r="Y112" s="74"/>
      <c r="Z112" s="112"/>
      <c r="AD112" s="74"/>
      <c r="AF112" s="112" t="s">
        <v>253</v>
      </c>
      <c r="AI112" s="74"/>
      <c r="AJ112" s="74"/>
      <c r="AK112" s="74"/>
      <c r="AL112" s="74"/>
      <c r="AM112" s="74"/>
      <c r="AN112" s="74"/>
      <c r="AP112" s="74"/>
      <c r="AQ112" s="74"/>
      <c r="AR112" s="74"/>
      <c r="AS112" s="74"/>
      <c r="AT112" s="74"/>
      <c r="AU112" s="74"/>
      <c r="AV112" s="74"/>
    </row>
    <row r="113" spans="1:50" ht="15">
      <c r="A113" s="5" t="s">
        <v>95</v>
      </c>
      <c r="B113" s="73">
        <v>659</v>
      </c>
      <c r="C113" s="73"/>
      <c r="D113" s="74">
        <v>750</v>
      </c>
      <c r="F113" s="73">
        <v>94</v>
      </c>
      <c r="G113" s="34"/>
      <c r="H113" s="74">
        <v>4000</v>
      </c>
      <c r="I113" s="22"/>
      <c r="J113" s="22"/>
      <c r="K113" s="74">
        <v>3250</v>
      </c>
      <c r="L113" s="112">
        <v>1270</v>
      </c>
      <c r="M113" s="73"/>
      <c r="N113" s="73"/>
      <c r="O113" s="73"/>
      <c r="P113" s="74">
        <v>0</v>
      </c>
      <c r="Q113" s="74">
        <v>3250</v>
      </c>
      <c r="R113" s="112"/>
      <c r="S113" s="112"/>
      <c r="T113" s="142">
        <v>5000</v>
      </c>
      <c r="U113" s="142">
        <v>893</v>
      </c>
      <c r="V113" s="112"/>
      <c r="W113" s="142">
        <v>3601</v>
      </c>
      <c r="X113" s="249" t="s">
        <v>185</v>
      </c>
      <c r="Y113" s="142">
        <v>27160</v>
      </c>
      <c r="Z113" s="112">
        <v>28610</v>
      </c>
      <c r="AA113" s="152" t="s">
        <v>185</v>
      </c>
      <c r="AB113" s="189">
        <f>Y113</f>
        <v>27160</v>
      </c>
      <c r="AD113" s="142">
        <v>46140</v>
      </c>
      <c r="AF113" s="112">
        <v>48500</v>
      </c>
      <c r="AI113" s="142">
        <v>48660</v>
      </c>
      <c r="AJ113" s="142">
        <v>11684</v>
      </c>
      <c r="AK113" s="142">
        <v>26815</v>
      </c>
      <c r="AL113" s="142">
        <v>20945</v>
      </c>
      <c r="AM113" s="142"/>
      <c r="AN113" s="142"/>
      <c r="AP113" s="142"/>
      <c r="AQ113" s="142">
        <v>25000</v>
      </c>
      <c r="AR113" s="142">
        <v>5400</v>
      </c>
      <c r="AS113" s="142">
        <v>13993</v>
      </c>
      <c r="AT113" s="142">
        <v>20850</v>
      </c>
      <c r="AU113" s="142">
        <v>15000</v>
      </c>
      <c r="AV113" s="142"/>
      <c r="AX113" s="205"/>
    </row>
    <row r="114" spans="1:49" ht="15">
      <c r="A114" s="5" t="s">
        <v>96</v>
      </c>
      <c r="B114" s="73">
        <v>519</v>
      </c>
      <c r="C114" s="73"/>
      <c r="D114" s="74">
        <v>1000</v>
      </c>
      <c r="F114" s="73">
        <v>524</v>
      </c>
      <c r="G114" s="34"/>
      <c r="H114" s="31" t="s">
        <v>97</v>
      </c>
      <c r="I114" s="22"/>
      <c r="J114" s="22"/>
      <c r="K114" s="31" t="s">
        <v>97</v>
      </c>
      <c r="L114" s="113"/>
      <c r="M114" s="115"/>
      <c r="N114" s="115"/>
      <c r="O114" s="115"/>
      <c r="P114" s="31" t="s">
        <v>97</v>
      </c>
      <c r="Q114" s="31" t="s">
        <v>97</v>
      </c>
      <c r="R114" s="165">
        <v>1000</v>
      </c>
      <c r="S114" s="165">
        <v>1000</v>
      </c>
      <c r="T114" s="31" t="s">
        <v>97</v>
      </c>
      <c r="U114" s="31"/>
      <c r="V114" s="165">
        <v>4444</v>
      </c>
      <c r="W114" s="31"/>
      <c r="Y114" s="190"/>
      <c r="Z114" s="165"/>
      <c r="AA114" s="210"/>
      <c r="AB114" s="191">
        <f>AB97+AB113</f>
        <v>71636</v>
      </c>
      <c r="AC114" s="210"/>
      <c r="AD114" s="190"/>
      <c r="AE114" s="210"/>
      <c r="AF114" s="165"/>
      <c r="AG114" s="210"/>
      <c r="AH114" s="231"/>
      <c r="AI114" s="190"/>
      <c r="AJ114" s="190"/>
      <c r="AK114" s="190"/>
      <c r="AL114" s="190"/>
      <c r="AM114" s="190"/>
      <c r="AN114" s="190"/>
      <c r="AO114" s="231"/>
      <c r="AP114" s="190"/>
      <c r="AQ114" s="190"/>
      <c r="AR114" s="190"/>
      <c r="AS114" s="190"/>
      <c r="AT114" s="190"/>
      <c r="AU114" s="190"/>
      <c r="AV114" s="190"/>
      <c r="AW114" s="231"/>
    </row>
    <row r="115" spans="1:48" ht="15">
      <c r="A115" s="5" t="s">
        <v>98</v>
      </c>
      <c r="B115" s="73">
        <v>1200</v>
      </c>
      <c r="C115" s="73"/>
      <c r="D115" s="74">
        <v>1000</v>
      </c>
      <c r="F115" s="73">
        <v>1000</v>
      </c>
      <c r="G115" s="34"/>
      <c r="H115" s="74"/>
      <c r="I115" s="22"/>
      <c r="J115" s="22"/>
      <c r="K115" s="74"/>
      <c r="L115" s="112"/>
      <c r="M115" s="73"/>
      <c r="N115" s="73"/>
      <c r="O115" s="73"/>
      <c r="P115" s="74"/>
      <c r="Q115" s="74"/>
      <c r="R115" s="112"/>
      <c r="S115" s="112"/>
      <c r="T115" s="74"/>
      <c r="U115" s="74"/>
      <c r="V115" s="112"/>
      <c r="W115" s="74"/>
      <c r="Y115" s="74"/>
      <c r="Z115" s="112"/>
      <c r="AD115" s="74"/>
      <c r="AF115" s="112"/>
      <c r="AI115" s="74"/>
      <c r="AJ115" s="74"/>
      <c r="AK115" s="74"/>
      <c r="AL115" s="74"/>
      <c r="AM115" s="74"/>
      <c r="AN115" s="74"/>
      <c r="AP115" s="74"/>
      <c r="AQ115" s="74"/>
      <c r="AR115" s="74"/>
      <c r="AS115" s="74"/>
      <c r="AT115" s="74"/>
      <c r="AU115" s="74"/>
      <c r="AV115" s="74"/>
    </row>
    <row r="116" spans="1:48" ht="15">
      <c r="A116" s="5" t="s">
        <v>99</v>
      </c>
      <c r="B116" s="73">
        <v>335</v>
      </c>
      <c r="C116" s="72"/>
      <c r="D116" s="74">
        <v>250</v>
      </c>
      <c r="F116" s="73">
        <v>10</v>
      </c>
      <c r="G116" s="34"/>
      <c r="H116" s="74"/>
      <c r="I116" s="22"/>
      <c r="J116" s="22"/>
      <c r="K116" s="74"/>
      <c r="L116" s="112"/>
      <c r="M116" s="73"/>
      <c r="N116" s="73"/>
      <c r="O116" s="73"/>
      <c r="P116" s="74"/>
      <c r="Q116" s="74"/>
      <c r="R116" s="112"/>
      <c r="S116" s="112"/>
      <c r="T116" s="74"/>
      <c r="U116" s="74"/>
      <c r="V116" s="112"/>
      <c r="W116" s="74"/>
      <c r="Y116" s="74"/>
      <c r="Z116" s="112"/>
      <c r="AD116" s="74"/>
      <c r="AF116" s="112"/>
      <c r="AI116" s="74"/>
      <c r="AJ116" s="74"/>
      <c r="AK116" s="74"/>
      <c r="AL116" s="74"/>
      <c r="AM116" s="74"/>
      <c r="AN116" s="74"/>
      <c r="AP116" s="74"/>
      <c r="AQ116" s="74"/>
      <c r="AR116" s="74"/>
      <c r="AS116" s="74"/>
      <c r="AT116" s="74"/>
      <c r="AU116" s="74"/>
      <c r="AV116" s="74"/>
    </row>
    <row r="117" spans="1:48" ht="15">
      <c r="A117" s="5" t="s">
        <v>100</v>
      </c>
      <c r="B117" s="73">
        <v>2250</v>
      </c>
      <c r="C117" s="72"/>
      <c r="D117" s="74"/>
      <c r="F117" s="73"/>
      <c r="G117" s="4"/>
      <c r="H117" s="74">
        <v>3000</v>
      </c>
      <c r="I117" s="73"/>
      <c r="J117" s="73"/>
      <c r="K117" s="74">
        <v>0</v>
      </c>
      <c r="L117" s="112"/>
      <c r="M117" s="73"/>
      <c r="N117" s="73"/>
      <c r="O117" s="73"/>
      <c r="P117" s="74">
        <v>0</v>
      </c>
      <c r="Q117" s="74">
        <v>0</v>
      </c>
      <c r="R117" s="112"/>
      <c r="S117" s="112"/>
      <c r="T117" s="74">
        <v>0</v>
      </c>
      <c r="U117" s="74"/>
      <c r="V117" s="112"/>
      <c r="W117" s="74"/>
      <c r="Y117" s="74">
        <v>0</v>
      </c>
      <c r="Z117" s="112"/>
      <c r="AD117" s="74">
        <v>0</v>
      </c>
      <c r="AF117" s="112"/>
      <c r="AI117" s="74">
        <v>0</v>
      </c>
      <c r="AJ117" s="74"/>
      <c r="AK117" s="74"/>
      <c r="AL117" s="74"/>
      <c r="AM117" s="74"/>
      <c r="AN117" s="74"/>
      <c r="AP117" s="74"/>
      <c r="AQ117" s="74"/>
      <c r="AR117" s="74"/>
      <c r="AS117" s="74"/>
      <c r="AT117" s="74"/>
      <c r="AU117" s="74"/>
      <c r="AV117" s="74"/>
    </row>
    <row r="118" spans="1:48" ht="15">
      <c r="A118" s="2" t="s">
        <v>101</v>
      </c>
      <c r="B118" s="11">
        <v>10490</v>
      </c>
      <c r="C118" s="72"/>
      <c r="D118" s="11">
        <f>SUM(D109:D117)</f>
        <v>6000</v>
      </c>
      <c r="F118" s="11">
        <f>SUM(F109:F117)</f>
        <v>5373</v>
      </c>
      <c r="G118" s="34"/>
      <c r="H118" s="11">
        <f>SUM(H109:H117)</f>
        <v>10000</v>
      </c>
      <c r="I118" s="11">
        <v>9684</v>
      </c>
      <c r="J118" s="11"/>
      <c r="K118" s="11">
        <f>SUM(K109:K117)</f>
        <v>5000</v>
      </c>
      <c r="L118" s="11">
        <f>SUM(L109:L117)</f>
        <v>2049</v>
      </c>
      <c r="M118" s="11"/>
      <c r="N118" s="11">
        <f>SUM(N109:N117)</f>
        <v>1750</v>
      </c>
      <c r="O118" s="11"/>
      <c r="P118" s="11">
        <f aca="true" t="shared" si="35" ref="P118:U118">SUM(P109:P117)</f>
        <v>1750</v>
      </c>
      <c r="Q118" s="11">
        <f t="shared" si="35"/>
        <v>5000</v>
      </c>
      <c r="R118" s="11">
        <f t="shared" si="35"/>
        <v>1000</v>
      </c>
      <c r="S118" s="11">
        <f t="shared" si="35"/>
        <v>1000</v>
      </c>
      <c r="T118" s="11">
        <f t="shared" si="35"/>
        <v>5000</v>
      </c>
      <c r="U118" s="11">
        <f t="shared" si="35"/>
        <v>893</v>
      </c>
      <c r="V118" s="11">
        <f>SUM(V109:V117)</f>
        <v>4444</v>
      </c>
      <c r="W118" s="11">
        <f>SUM(W109:W117)</f>
        <v>3601</v>
      </c>
      <c r="Y118" s="11">
        <f>SUM(Y109:Y117)</f>
        <v>27160</v>
      </c>
      <c r="Z118" s="11">
        <f>SUM(Z109:Z117)</f>
        <v>28610</v>
      </c>
      <c r="AD118" s="11">
        <f>SUM(AD109:AD117)</f>
        <v>46140</v>
      </c>
      <c r="AF118" s="11">
        <f>SUM(AF110:AF117)</f>
        <v>48500</v>
      </c>
      <c r="AG118" s="259">
        <f>AF118-AD118</f>
        <v>2360</v>
      </c>
      <c r="AI118" s="11">
        <f>SUM(AI109:AI117)</f>
        <v>48660</v>
      </c>
      <c r="AJ118" s="11">
        <f>SUM(AJ109:AJ117)</f>
        <v>11684</v>
      </c>
      <c r="AK118" s="11">
        <f>SUM(AK109:AK117)</f>
        <v>26815</v>
      </c>
      <c r="AL118" s="11">
        <f>SUM(AL109:AL117)</f>
        <v>20945</v>
      </c>
      <c r="AM118" s="11"/>
      <c r="AN118" s="11"/>
      <c r="AP118" s="11">
        <f>SUM(AP109:AP117)</f>
        <v>0</v>
      </c>
      <c r="AQ118" s="11">
        <f>SUM(AQ109:AQ117)</f>
        <v>25000</v>
      </c>
      <c r="AR118" s="11"/>
      <c r="AS118" s="11">
        <f>SUM(AS109:AS117)</f>
        <v>13993</v>
      </c>
      <c r="AT118" s="11">
        <f>SUM(AT109:AT117)</f>
        <v>20850</v>
      </c>
      <c r="AU118" s="11">
        <f>SUM(AU109:AU117)</f>
        <v>15000</v>
      </c>
      <c r="AV118" s="11"/>
    </row>
    <row r="119" spans="1:33" ht="15">
      <c r="A119" s="14"/>
      <c r="B119" s="11"/>
      <c r="C119" s="72"/>
      <c r="D119" s="11"/>
      <c r="E119" s="40"/>
      <c r="F119" s="11"/>
      <c r="G119" s="34"/>
      <c r="H119" s="11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G119" s="257" t="s">
        <v>257</v>
      </c>
    </row>
    <row r="120" spans="1:26" ht="15">
      <c r="A120" s="14"/>
      <c r="B120" s="6"/>
      <c r="C120" s="72"/>
      <c r="D120" s="11"/>
      <c r="E120" s="115"/>
      <c r="F120" s="7"/>
      <c r="G120" s="34"/>
      <c r="H120" s="143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40"/>
      <c r="Y120" s="115"/>
      <c r="Z120" s="115"/>
    </row>
    <row r="121" spans="1:26" ht="15">
      <c r="A121" s="14"/>
      <c r="B121" s="15"/>
      <c r="C121" s="10"/>
      <c r="D121" s="11"/>
      <c r="E121" s="11"/>
      <c r="F121" s="4"/>
      <c r="G121" s="4"/>
      <c r="H121" s="40"/>
      <c r="I121" s="14"/>
      <c r="J121" s="1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40"/>
      <c r="Y121" s="75"/>
      <c r="Z121" s="75"/>
    </row>
    <row r="122" spans="1:26" ht="15">
      <c r="A122" s="40"/>
      <c r="B122" s="22"/>
      <c r="C122" s="76"/>
      <c r="D122" s="16"/>
      <c r="E122" s="16"/>
      <c r="F122" s="22"/>
      <c r="G122" s="76"/>
      <c r="H122" s="16"/>
      <c r="I122" s="40"/>
      <c r="J122" s="40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40"/>
      <c r="Y122" s="73"/>
      <c r="Z122" s="73"/>
    </row>
    <row r="123" spans="1:26" ht="15">
      <c r="A123" s="40"/>
      <c r="B123" s="22"/>
      <c r="C123" s="76"/>
      <c r="D123" s="16"/>
      <c r="E123" s="16"/>
      <c r="F123" s="22"/>
      <c r="G123" s="76"/>
      <c r="H123" s="16"/>
      <c r="I123" s="40"/>
      <c r="J123" s="4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40"/>
      <c r="Y123" s="80"/>
      <c r="Z123" s="80"/>
    </row>
    <row r="124" spans="1:26" ht="15">
      <c r="A124" s="40"/>
      <c r="B124" s="22"/>
      <c r="C124" s="76"/>
      <c r="D124" s="16"/>
      <c r="E124" s="16"/>
      <c r="F124" s="16"/>
      <c r="G124" s="76"/>
      <c r="H124" s="16"/>
      <c r="I124" s="40"/>
      <c r="J124" s="4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40"/>
      <c r="Y124" s="80"/>
      <c r="Z124" s="80"/>
    </row>
    <row r="125" spans="1:26" ht="15">
      <c r="A125" s="40"/>
      <c r="B125" s="76"/>
      <c r="C125" s="76"/>
      <c r="D125" s="16"/>
      <c r="E125" s="16"/>
      <c r="F125" s="16"/>
      <c r="G125" s="76"/>
      <c r="H125" s="16"/>
      <c r="I125" s="73"/>
      <c r="J125" s="73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40"/>
      <c r="Y125" s="80"/>
      <c r="Z125" s="80"/>
    </row>
    <row r="126" spans="1:26" ht="15">
      <c r="A126" s="44"/>
      <c r="B126" s="22"/>
      <c r="C126" s="79"/>
      <c r="D126" s="11"/>
      <c r="E126" s="11"/>
      <c r="F126" s="34"/>
      <c r="G126" s="34"/>
      <c r="H126" s="34"/>
      <c r="I126" s="40"/>
      <c r="J126" s="4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40"/>
      <c r="Y126" s="80"/>
      <c r="Z126" s="80"/>
    </row>
    <row r="127" spans="1:26" ht="15">
      <c r="A127" s="44"/>
      <c r="B127" s="22"/>
      <c r="C127" s="78"/>
      <c r="D127" s="73"/>
      <c r="E127" s="73"/>
      <c r="F127" s="16"/>
      <c r="G127" s="34"/>
      <c r="H127" s="73"/>
      <c r="I127" s="73"/>
      <c r="J127" s="73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40"/>
      <c r="Y127" s="80"/>
      <c r="Z127" s="80"/>
    </row>
    <row r="128" spans="1:26" ht="15">
      <c r="A128" s="44"/>
      <c r="B128" s="22"/>
      <c r="C128" s="78"/>
      <c r="D128" s="73"/>
      <c r="E128" s="73"/>
      <c r="F128" s="16"/>
      <c r="G128" s="34"/>
      <c r="H128" s="73"/>
      <c r="I128" s="73"/>
      <c r="J128" s="7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40"/>
      <c r="Y128" s="80"/>
      <c r="Z128" s="80"/>
    </row>
    <row r="129" spans="1:26" ht="15">
      <c r="A129" s="40"/>
      <c r="B129" s="22"/>
      <c r="C129" s="79"/>
      <c r="D129" s="73"/>
      <c r="E129" s="73"/>
      <c r="F129" s="16"/>
      <c r="H129" s="73"/>
      <c r="I129" s="40"/>
      <c r="J129" s="4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40"/>
      <c r="Y129" s="80"/>
      <c r="Z129" s="80"/>
    </row>
    <row r="130" spans="1:26" ht="15">
      <c r="A130" s="14"/>
      <c r="B130" s="15"/>
      <c r="C130" s="81"/>
      <c r="D130" s="11"/>
      <c r="E130" s="11"/>
      <c r="F130" s="15"/>
      <c r="G130" s="4"/>
      <c r="H130" s="4"/>
      <c r="I130" s="40"/>
      <c r="J130" s="40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40"/>
      <c r="Y130" s="73"/>
      <c r="Z130" s="73"/>
    </row>
    <row r="131" spans="1:26" ht="15">
      <c r="A131" s="115"/>
      <c r="B131" s="22"/>
      <c r="C131" s="40"/>
      <c r="D131" s="115"/>
      <c r="E131" s="40"/>
      <c r="F131" s="16"/>
      <c r="H131" s="8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">
      <c r="A132" s="115"/>
      <c r="B132" s="22"/>
      <c r="C132" s="79"/>
      <c r="D132" s="115"/>
      <c r="E132" s="40"/>
      <c r="F132" s="16"/>
      <c r="H132" s="8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>
      <c r="A133" s="115"/>
      <c r="B133" s="22"/>
      <c r="C133" s="79"/>
      <c r="D133" s="115"/>
      <c r="E133" s="40"/>
      <c r="F133" s="16"/>
      <c r="H133" s="8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">
      <c r="A134" s="14"/>
      <c r="B134" s="22"/>
      <c r="C134" s="40"/>
      <c r="D134" s="40"/>
      <c r="E134" s="40"/>
      <c r="F134" s="21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">
      <c r="A135" s="44"/>
      <c r="B135" s="22"/>
      <c r="C135" s="40"/>
      <c r="D135" s="40"/>
      <c r="E135" s="40"/>
      <c r="F135" s="16"/>
      <c r="G135" s="34"/>
      <c r="H135" s="8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">
      <c r="A136" s="44"/>
      <c r="B136" s="22"/>
      <c r="C136" s="40"/>
      <c r="D136" s="40"/>
      <c r="E136" s="40"/>
      <c r="F136" s="16"/>
      <c r="G136" s="34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>
      <c r="A137" s="14"/>
      <c r="B137" s="15"/>
      <c r="C137" s="82"/>
      <c r="D137" s="82"/>
      <c r="E137" s="82"/>
      <c r="F137" s="15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40"/>
      <c r="Y137" s="82"/>
      <c r="Z137" s="82"/>
    </row>
    <row r="138" spans="1:26" ht="15">
      <c r="A138" s="44"/>
      <c r="B138" s="22"/>
      <c r="C138" s="40"/>
      <c r="D138" s="40"/>
      <c r="E138" s="40"/>
      <c r="F138" s="21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">
      <c r="A139" s="40"/>
      <c r="B139" s="22"/>
      <c r="C139" s="40"/>
      <c r="D139" s="40"/>
      <c r="E139" s="40"/>
      <c r="F139" s="21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">
      <c r="A140" s="40"/>
      <c r="B140" s="22"/>
      <c r="C140" s="40"/>
      <c r="D140" s="40"/>
      <c r="E140" s="40"/>
      <c r="F140" s="21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">
      <c r="A141" s="14"/>
      <c r="B141" s="15"/>
      <c r="C141" s="10"/>
      <c r="D141" s="11"/>
      <c r="E141" s="11"/>
      <c r="F141" s="15"/>
      <c r="G141" s="4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">
      <c r="A142" s="14"/>
      <c r="B142" s="22"/>
      <c r="C142" s="40"/>
      <c r="D142" s="11"/>
      <c r="E142" s="11"/>
      <c r="F142" s="15"/>
      <c r="G142" s="4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">
      <c r="A143" s="44"/>
      <c r="B143" s="22"/>
      <c r="C143" s="79"/>
      <c r="D143" s="73"/>
      <c r="E143" s="73"/>
      <c r="F143" s="16"/>
      <c r="G143" s="34"/>
      <c r="H143" s="7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">
      <c r="A144" s="44"/>
      <c r="B144" s="22"/>
      <c r="C144" s="40"/>
      <c r="D144" s="115"/>
      <c r="E144" s="40"/>
      <c r="F144" s="16"/>
      <c r="G144" s="34"/>
      <c r="H144" s="60"/>
      <c r="I144" s="80"/>
      <c r="J144" s="8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">
      <c r="A145" s="44"/>
      <c r="B145" s="22"/>
      <c r="C145" s="40"/>
      <c r="D145" s="73"/>
      <c r="E145" s="73"/>
      <c r="F145" s="16"/>
      <c r="G145" s="34"/>
      <c r="H145" s="73"/>
      <c r="I145" s="73"/>
      <c r="J145" s="73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">
      <c r="A146" s="44"/>
      <c r="B146" s="22"/>
      <c r="C146" s="40"/>
      <c r="D146" s="73"/>
      <c r="E146" s="73"/>
      <c r="F146" s="16"/>
      <c r="G146" s="34"/>
      <c r="H146" s="7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">
      <c r="A147" s="44"/>
      <c r="B147" s="22"/>
      <c r="C147" s="40"/>
      <c r="D147" s="73"/>
      <c r="E147" s="73"/>
      <c r="F147" s="21"/>
      <c r="G147" s="34"/>
      <c r="H147" s="144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">
      <c r="A148" s="14"/>
      <c r="B148" s="15"/>
      <c r="C148" s="79"/>
      <c r="D148" s="11"/>
      <c r="E148" s="11"/>
      <c r="F148" s="15"/>
      <c r="G148" s="4"/>
      <c r="H148" s="11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">
      <c r="A149" s="40"/>
      <c r="B149" s="22"/>
      <c r="C149" s="40"/>
      <c r="D149" s="72"/>
      <c r="E149" s="40"/>
      <c r="F149" s="21"/>
      <c r="H149" s="8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">
      <c r="A150" s="40"/>
      <c r="B150" s="22"/>
      <c r="C150" s="40"/>
      <c r="D150" s="72"/>
      <c r="E150" s="40"/>
      <c r="F150" s="21"/>
      <c r="H150" s="8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">
      <c r="A151" s="40"/>
      <c r="B151" s="22"/>
      <c r="C151" s="40"/>
      <c r="D151" s="40"/>
      <c r="E151" s="40"/>
      <c r="F151" s="21"/>
      <c r="H151" s="84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">
      <c r="A152" s="40"/>
      <c r="B152" s="22"/>
      <c r="C152" s="40"/>
      <c r="D152" s="40"/>
      <c r="E152" s="40"/>
      <c r="F152" s="21"/>
      <c r="H152" s="84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">
      <c r="A153" s="40"/>
      <c r="B153" s="22"/>
      <c r="C153" s="40"/>
      <c r="D153" s="40"/>
      <c r="E153" s="40"/>
      <c r="F153" s="21"/>
      <c r="H153" s="84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">
      <c r="A154" s="40"/>
      <c r="B154" s="22"/>
      <c r="C154" s="40"/>
      <c r="D154" s="72"/>
      <c r="E154" s="40"/>
      <c r="F154" s="21"/>
      <c r="H154" s="8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">
      <c r="A155" s="40"/>
      <c r="B155" s="22"/>
      <c r="C155" s="40"/>
      <c r="D155" s="73"/>
      <c r="E155" s="40"/>
      <c r="F155" s="73"/>
      <c r="H155" s="7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">
      <c r="A156" s="40"/>
      <c r="B156" s="22"/>
      <c r="C156" s="40"/>
      <c r="D156" s="40"/>
      <c r="E156" s="40"/>
      <c r="F156" s="34"/>
      <c r="H156" s="34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">
      <c r="A157" s="40"/>
      <c r="B157" s="22"/>
      <c r="C157" s="40"/>
      <c r="D157" s="72"/>
      <c r="E157" s="40"/>
      <c r="F157" s="21"/>
      <c r="H157" s="83"/>
      <c r="I157" s="72"/>
      <c r="J157" s="72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">
      <c r="A158" s="40"/>
      <c r="B158" s="22"/>
      <c r="C158" s="40"/>
      <c r="D158" s="72"/>
      <c r="E158" s="40"/>
      <c r="F158" s="21"/>
      <c r="H158" s="83"/>
      <c r="I158" s="72"/>
      <c r="J158" s="72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">
      <c r="A159" s="40"/>
      <c r="B159" s="22"/>
      <c r="C159" s="40"/>
      <c r="D159" s="72"/>
      <c r="E159" s="40"/>
      <c r="F159" s="21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">
      <c r="A160" s="44"/>
      <c r="B160" s="22"/>
      <c r="C160" s="40"/>
      <c r="D160" s="40"/>
      <c r="E160" s="40"/>
      <c r="F160" s="22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">
      <c r="A161" s="40"/>
      <c r="B161" s="22"/>
      <c r="C161" s="79"/>
      <c r="D161" s="73"/>
      <c r="E161" s="73"/>
      <c r="F161" s="22"/>
      <c r="H161" s="73"/>
      <c r="I161" s="40"/>
      <c r="J161" s="40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40"/>
      <c r="Y161" s="73"/>
      <c r="Z161" s="73"/>
    </row>
    <row r="162" spans="1:26" ht="15">
      <c r="A162" s="44"/>
      <c r="B162" s="22"/>
      <c r="C162" s="40"/>
      <c r="D162" s="73"/>
      <c r="E162" s="73"/>
      <c r="F162" s="16"/>
      <c r="G162" s="34"/>
      <c r="H162" s="73"/>
      <c r="I162" s="40"/>
      <c r="J162" s="40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40"/>
      <c r="Y162" s="73"/>
      <c r="Z162" s="73"/>
    </row>
    <row r="163" spans="1:26" ht="15">
      <c r="A163" s="44"/>
      <c r="B163" s="22"/>
      <c r="C163" s="79"/>
      <c r="D163" s="73"/>
      <c r="E163" s="73"/>
      <c r="F163" s="16"/>
      <c r="G163" s="34"/>
      <c r="H163" s="73"/>
      <c r="I163" s="40"/>
      <c r="J163" s="40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40"/>
      <c r="Y163" s="73"/>
      <c r="Z163" s="73"/>
    </row>
    <row r="164" spans="1:26" ht="15">
      <c r="A164" s="44"/>
      <c r="B164" s="22"/>
      <c r="C164" s="40"/>
      <c r="D164" s="73"/>
      <c r="E164" s="73"/>
      <c r="F164" s="16"/>
      <c r="G164" s="34"/>
      <c r="H164" s="73"/>
      <c r="I164" s="40"/>
      <c r="J164" s="40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40"/>
      <c r="Y164" s="36"/>
      <c r="Z164" s="36"/>
    </row>
    <row r="165" spans="1:26" ht="15">
      <c r="A165" s="14"/>
      <c r="B165" s="22"/>
      <c r="C165" s="40"/>
      <c r="D165" s="11"/>
      <c r="E165" s="11"/>
      <c r="F165" s="15"/>
      <c r="G165" s="4"/>
      <c r="H165" s="11"/>
      <c r="I165" s="40"/>
      <c r="J165" s="40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0"/>
      <c r="Y165" s="44"/>
      <c r="Z165" s="44"/>
    </row>
    <row r="166" spans="1:26" ht="15">
      <c r="A166" s="44"/>
      <c r="B166" s="16"/>
      <c r="C166" s="78"/>
      <c r="D166" s="73"/>
      <c r="E166" s="73"/>
      <c r="F166" s="16"/>
      <c r="G166" s="34"/>
      <c r="H166" s="73"/>
      <c r="I166" s="40"/>
      <c r="J166" s="40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40"/>
      <c r="Y166" s="36"/>
      <c r="Z166" s="36"/>
    </row>
    <row r="167" spans="1:26" ht="15">
      <c r="A167" s="44"/>
      <c r="B167" s="16"/>
      <c r="C167" s="78"/>
      <c r="D167" s="73"/>
      <c r="E167" s="73"/>
      <c r="F167" s="16"/>
      <c r="G167" s="34"/>
      <c r="H167" s="73"/>
      <c r="I167" s="73"/>
      <c r="J167" s="73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40"/>
      <c r="Y167" s="36"/>
      <c r="Z167" s="36"/>
    </row>
    <row r="168" spans="1:26" ht="15">
      <c r="A168" s="44"/>
      <c r="B168" s="16"/>
      <c r="C168" s="78"/>
      <c r="D168" s="73"/>
      <c r="E168" s="73"/>
      <c r="F168" s="16"/>
      <c r="G168" s="34"/>
      <c r="H168" s="73"/>
      <c r="I168" s="73"/>
      <c r="J168" s="73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40"/>
      <c r="Y168" s="36"/>
      <c r="Z168" s="36"/>
    </row>
    <row r="169" spans="1:26" ht="15">
      <c r="A169" s="40"/>
      <c r="B169" s="22"/>
      <c r="C169" s="40"/>
      <c r="D169" s="40"/>
      <c r="E169" s="40"/>
      <c r="F169" s="21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">
      <c r="A170" s="14"/>
      <c r="B170" s="15"/>
      <c r="C170" s="82"/>
      <c r="D170" s="4"/>
      <c r="E170" s="4"/>
      <c r="F170" s="1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0"/>
      <c r="Y170" s="4"/>
      <c r="Z170" s="4"/>
    </row>
    <row r="171" spans="1:26" ht="15">
      <c r="A171" s="14"/>
      <c r="B171" s="15"/>
      <c r="C171" s="10"/>
      <c r="D171" s="11"/>
      <c r="E171" s="11"/>
      <c r="F171" s="15"/>
      <c r="G171" s="4"/>
      <c r="H171" s="11"/>
      <c r="I171" s="40"/>
      <c r="J171" s="4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40"/>
      <c r="Y171" s="11"/>
      <c r="Z171" s="11"/>
    </row>
    <row r="172" spans="1:26" ht="15">
      <c r="A172" s="44"/>
      <c r="B172" s="22"/>
      <c r="C172" s="40"/>
      <c r="D172" s="40"/>
      <c r="E172" s="40"/>
      <c r="F172" s="16"/>
      <c r="G172" s="34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">
      <c r="A173" s="14"/>
      <c r="B173" s="15"/>
      <c r="C173" s="82"/>
      <c r="D173" s="4"/>
      <c r="E173" s="4"/>
      <c r="F173" s="15"/>
      <c r="G173" s="4"/>
      <c r="H173" s="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40"/>
      <c r="Y173" s="11"/>
      <c r="Z173" s="11"/>
    </row>
    <row r="174" spans="1:26" ht="15">
      <c r="A174" s="44"/>
      <c r="B174" s="22"/>
      <c r="C174" s="40"/>
      <c r="D174" s="40"/>
      <c r="E174" s="40"/>
      <c r="F174" s="16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">
      <c r="A175" s="14"/>
      <c r="B175" s="40"/>
      <c r="C175" s="40"/>
      <c r="D175" s="40"/>
      <c r="E175" s="40"/>
      <c r="F175" s="4"/>
      <c r="G175" s="4"/>
      <c r="H175" s="40"/>
      <c r="I175" s="40"/>
      <c r="J175" s="4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40"/>
      <c r="Y175" s="80"/>
      <c r="Z175" s="80"/>
    </row>
    <row r="176" spans="1:26" ht="15">
      <c r="A176" s="14"/>
      <c r="B176" s="14"/>
      <c r="C176" s="72"/>
      <c r="D176" s="14"/>
      <c r="E176" s="40"/>
      <c r="F176" s="14"/>
      <c r="G176" s="34"/>
      <c r="H176" s="14"/>
      <c r="I176" s="40"/>
      <c r="J176" s="4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40"/>
      <c r="Y176" s="80"/>
      <c r="Z176" s="80"/>
    </row>
    <row r="177" spans="1:26" ht="15">
      <c r="A177" s="44"/>
      <c r="B177" s="73"/>
      <c r="C177" s="73"/>
      <c r="D177" s="73"/>
      <c r="E177" s="40"/>
      <c r="F177" s="73"/>
      <c r="G177" s="34"/>
      <c r="H177" s="73"/>
      <c r="I177" s="40"/>
      <c r="J177" s="4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40"/>
      <c r="Y177" s="80"/>
      <c r="Z177" s="80"/>
    </row>
    <row r="178" spans="1:26" ht="15">
      <c r="A178" s="44"/>
      <c r="B178" s="73"/>
      <c r="C178" s="72"/>
      <c r="D178" s="73"/>
      <c r="E178" s="40"/>
      <c r="F178" s="73"/>
      <c r="G178" s="34"/>
      <c r="H178" s="73"/>
      <c r="I178" s="40"/>
      <c r="J178" s="4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40"/>
      <c r="Y178" s="80"/>
      <c r="Z178" s="80"/>
    </row>
    <row r="179" spans="1:26" ht="15">
      <c r="A179" s="44"/>
      <c r="B179" s="73"/>
      <c r="C179" s="72"/>
      <c r="D179" s="73"/>
      <c r="E179" s="40"/>
      <c r="F179" s="73"/>
      <c r="G179" s="34"/>
      <c r="H179" s="7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">
      <c r="A180" s="44"/>
      <c r="B180" s="73"/>
      <c r="C180" s="73"/>
      <c r="D180" s="73"/>
      <c r="E180" s="40"/>
      <c r="F180" s="73"/>
      <c r="G180" s="34"/>
      <c r="H180" s="7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">
      <c r="A181" s="44"/>
      <c r="B181" s="73"/>
      <c r="C181" s="73"/>
      <c r="D181" s="73"/>
      <c r="E181" s="40"/>
      <c r="F181" s="73"/>
      <c r="G181" s="34"/>
      <c r="H181" s="7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">
      <c r="A182" s="44"/>
      <c r="B182" s="73"/>
      <c r="C182" s="73"/>
      <c r="D182" s="73"/>
      <c r="E182" s="40"/>
      <c r="F182" s="73"/>
      <c r="G182" s="34"/>
      <c r="H182" s="73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">
      <c r="A183" s="44"/>
      <c r="B183" s="73"/>
      <c r="C183" s="73"/>
      <c r="D183" s="73"/>
      <c r="E183" s="40"/>
      <c r="F183" s="73"/>
      <c r="G183" s="34"/>
      <c r="H183" s="73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">
      <c r="A184" s="44"/>
      <c r="B184" s="73"/>
      <c r="C184" s="72"/>
      <c r="D184" s="73"/>
      <c r="E184" s="40"/>
      <c r="F184" s="73"/>
      <c r="G184" s="34"/>
      <c r="H184" s="73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">
      <c r="A185" s="44"/>
      <c r="B185" s="73"/>
      <c r="C185" s="72"/>
      <c r="D185" s="73"/>
      <c r="E185" s="40"/>
      <c r="F185" s="73"/>
      <c r="G185" s="4"/>
      <c r="H185" s="73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">
      <c r="A186" s="14"/>
      <c r="B186" s="11"/>
      <c r="C186" s="72"/>
      <c r="D186" s="11"/>
      <c r="E186" s="40"/>
      <c r="F186" s="11"/>
      <c r="G186" s="34"/>
      <c r="H186" s="11"/>
      <c r="I186" s="40"/>
      <c r="J186" s="40"/>
      <c r="K186" s="40" t="s">
        <v>102</v>
      </c>
      <c r="L186" s="40"/>
      <c r="M186" s="40"/>
      <c r="N186" s="40"/>
      <c r="O186" s="40"/>
      <c r="P186" s="40" t="s">
        <v>102</v>
      </c>
      <c r="Q186" s="40"/>
      <c r="R186" s="40"/>
      <c r="S186" s="40"/>
      <c r="T186" s="40" t="s">
        <v>102</v>
      </c>
      <c r="U186" s="40"/>
      <c r="V186" s="40"/>
      <c r="W186" s="40"/>
      <c r="X186" s="40"/>
      <c r="Y186" s="40" t="s">
        <v>102</v>
      </c>
      <c r="Z186" s="40"/>
    </row>
    <row r="187" spans="1:26" ht="15">
      <c r="A187" s="14"/>
      <c r="B187" s="40"/>
      <c r="C187" s="40"/>
      <c r="D187" s="11"/>
      <c r="E187" s="11"/>
      <c r="F187" s="4"/>
      <c r="G187" s="4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">
      <c r="A188" s="40"/>
      <c r="B188" s="40"/>
      <c r="C188" s="40"/>
      <c r="D188" s="40"/>
      <c r="E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">
      <c r="A189" s="40"/>
      <c r="B189" s="40"/>
      <c r="C189" s="40"/>
      <c r="D189" s="40"/>
      <c r="E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">
      <c r="A190" s="40"/>
      <c r="B190" s="40"/>
      <c r="C190" s="40"/>
      <c r="D190" s="40"/>
      <c r="E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">
      <c r="A191" s="40"/>
      <c r="B191" s="40"/>
      <c r="C191" s="40"/>
      <c r="D191" s="40"/>
      <c r="E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">
      <c r="A192" s="40"/>
      <c r="B192" s="40"/>
      <c r="C192" s="40"/>
      <c r="D192" s="40"/>
      <c r="E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">
      <c r="A193" s="40"/>
      <c r="B193" s="40"/>
      <c r="C193" s="40"/>
      <c r="D193" s="40"/>
      <c r="E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">
      <c r="A194" s="40"/>
      <c r="B194" s="40"/>
      <c r="C194" s="40"/>
      <c r="D194" s="40"/>
      <c r="E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">
      <c r="A195" s="40"/>
      <c r="B195" s="40"/>
      <c r="C195" s="40"/>
      <c r="D195" s="40"/>
      <c r="E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">
      <c r="A196" s="40"/>
      <c r="B196" s="40"/>
      <c r="C196" s="40"/>
      <c r="D196" s="40"/>
      <c r="E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">
      <c r="A197" s="40"/>
      <c r="B197" s="40"/>
      <c r="C197" s="40"/>
      <c r="D197" s="40"/>
      <c r="E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">
      <c r="A198" s="40"/>
      <c r="B198" s="40"/>
      <c r="C198" s="40"/>
      <c r="D198" s="40"/>
      <c r="E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">
      <c r="A199" s="40"/>
      <c r="B199" s="40"/>
      <c r="C199" s="40"/>
      <c r="D199" s="40"/>
      <c r="E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">
      <c r="A200" s="40"/>
      <c r="B200" s="40"/>
      <c r="C200" s="40"/>
      <c r="D200" s="40"/>
      <c r="E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">
      <c r="A201" s="40"/>
      <c r="B201" s="40"/>
      <c r="C201" s="40"/>
      <c r="D201" s="40"/>
      <c r="E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">
      <c r="A202" s="40"/>
      <c r="B202" s="40"/>
      <c r="C202" s="40"/>
      <c r="D202" s="40"/>
      <c r="E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">
      <c r="A203" s="40"/>
      <c r="B203" s="40"/>
      <c r="C203" s="40"/>
      <c r="D203" s="40"/>
      <c r="E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">
      <c r="A204" s="40"/>
      <c r="B204" s="40"/>
      <c r="C204" s="40"/>
      <c r="D204" s="40"/>
      <c r="E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">
      <c r="A205" s="40"/>
      <c r="B205" s="40"/>
      <c r="C205" s="40"/>
      <c r="D205" s="40"/>
      <c r="E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">
      <c r="A206" s="40"/>
      <c r="B206" s="40"/>
      <c r="C206" s="40"/>
      <c r="D206" s="40"/>
      <c r="E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">
      <c r="A207" s="40"/>
      <c r="B207" s="40"/>
      <c r="C207" s="40"/>
      <c r="D207" s="40"/>
      <c r="E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">
      <c r="A208" s="40"/>
      <c r="B208" s="40"/>
      <c r="C208" s="40"/>
      <c r="D208" s="40"/>
      <c r="E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">
      <c r="A209" s="40"/>
      <c r="B209" s="40"/>
      <c r="C209" s="40"/>
      <c r="D209" s="40"/>
      <c r="E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">
      <c r="A210" s="40"/>
      <c r="B210" s="40"/>
      <c r="C210" s="40"/>
      <c r="D210" s="40"/>
      <c r="E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">
      <c r="A211" s="40"/>
      <c r="B211" s="40"/>
      <c r="C211" s="40"/>
      <c r="D211" s="40"/>
      <c r="E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">
      <c r="A212" s="40"/>
      <c r="B212" s="40"/>
      <c r="C212" s="40"/>
      <c r="D212" s="40"/>
      <c r="E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">
      <c r="A213" s="40"/>
      <c r="B213" s="40"/>
      <c r="C213" s="40"/>
      <c r="D213" s="40"/>
      <c r="E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">
      <c r="A214" s="40"/>
      <c r="B214" s="40"/>
      <c r="C214" s="40"/>
      <c r="D214" s="40"/>
      <c r="E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">
      <c r="A215" s="40"/>
      <c r="B215" s="40"/>
      <c r="C215" s="40"/>
      <c r="D215" s="40"/>
      <c r="E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">
      <c r="A216" s="40"/>
      <c r="B216" s="40"/>
      <c r="C216" s="40"/>
      <c r="D216" s="40"/>
      <c r="E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">
      <c r="A217" s="40"/>
      <c r="B217" s="40"/>
      <c r="C217" s="40"/>
      <c r="D217" s="40"/>
      <c r="E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">
      <c r="A218" s="40"/>
      <c r="B218" s="40"/>
      <c r="C218" s="40"/>
      <c r="D218" s="40"/>
      <c r="E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">
      <c r="A219" s="40"/>
      <c r="B219" s="40"/>
      <c r="C219" s="40"/>
      <c r="D219" s="40"/>
      <c r="E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">
      <c r="A220" s="40"/>
      <c r="B220" s="40"/>
      <c r="C220" s="40"/>
      <c r="D220" s="40"/>
      <c r="E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">
      <c r="A221" s="40"/>
      <c r="B221" s="40"/>
      <c r="C221" s="40"/>
      <c r="D221" s="40"/>
      <c r="E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">
      <c r="A222" s="40"/>
      <c r="B222" s="40"/>
      <c r="C222" s="40"/>
      <c r="D222" s="40"/>
      <c r="E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">
      <c r="A223" s="40"/>
      <c r="B223" s="40"/>
      <c r="C223" s="40"/>
      <c r="D223" s="40"/>
      <c r="E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">
      <c r="A224" s="40"/>
      <c r="B224" s="40"/>
      <c r="C224" s="40"/>
      <c r="D224" s="40"/>
      <c r="E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">
      <c r="A225" s="40"/>
      <c r="B225" s="40"/>
      <c r="C225" s="40"/>
      <c r="D225" s="40"/>
      <c r="E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">
      <c r="A226" s="40"/>
      <c r="B226" s="40"/>
      <c r="C226" s="40"/>
      <c r="D226" s="40"/>
      <c r="E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">
      <c r="A227" s="40"/>
      <c r="B227" s="40"/>
      <c r="C227" s="40"/>
      <c r="D227" s="40"/>
      <c r="E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">
      <c r="A228" s="40"/>
      <c r="B228" s="40"/>
      <c r="C228" s="40"/>
      <c r="D228" s="40"/>
      <c r="E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">
      <c r="A229" s="40"/>
      <c r="B229" s="40"/>
      <c r="C229" s="40"/>
      <c r="D229" s="40"/>
      <c r="E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">
      <c r="A230" s="40"/>
      <c r="B230" s="40"/>
      <c r="C230" s="40"/>
      <c r="D230" s="40"/>
      <c r="E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">
      <c r="A231" s="40"/>
      <c r="B231" s="40"/>
      <c r="C231" s="40"/>
      <c r="D231" s="40"/>
      <c r="E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">
      <c r="A232" s="40"/>
      <c r="B232" s="40"/>
      <c r="C232" s="40"/>
      <c r="D232" s="40"/>
      <c r="E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">
      <c r="A233" s="40"/>
      <c r="B233" s="40"/>
      <c r="C233" s="40"/>
      <c r="D233" s="40"/>
      <c r="E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">
      <c r="A234" s="40"/>
      <c r="B234" s="40"/>
      <c r="C234" s="40"/>
      <c r="D234" s="40"/>
      <c r="E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">
      <c r="A235" s="40"/>
      <c r="B235" s="40"/>
      <c r="C235" s="40"/>
      <c r="D235" s="40"/>
      <c r="E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">
      <c r="A236" s="40"/>
      <c r="B236" s="40"/>
      <c r="C236" s="40"/>
      <c r="D236" s="40"/>
      <c r="E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">
      <c r="A237" s="40"/>
      <c r="B237" s="40"/>
      <c r="C237" s="40"/>
      <c r="D237" s="40"/>
      <c r="E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">
      <c r="A238" s="40"/>
      <c r="B238" s="40"/>
      <c r="C238" s="40"/>
      <c r="D238" s="40"/>
      <c r="E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">
      <c r="A239" s="40"/>
      <c r="B239" s="40"/>
      <c r="C239" s="40"/>
      <c r="D239" s="40"/>
      <c r="E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">
      <c r="A240" s="40"/>
      <c r="B240" s="40"/>
      <c r="C240" s="40"/>
      <c r="D240" s="40"/>
      <c r="E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">
      <c r="A241" s="40"/>
      <c r="B241" s="40"/>
      <c r="C241" s="40"/>
      <c r="D241" s="40"/>
      <c r="E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">
      <c r="A242" s="40"/>
      <c r="B242" s="40"/>
      <c r="C242" s="40"/>
      <c r="D242" s="40"/>
      <c r="E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">
      <c r="A243" s="40"/>
      <c r="B243" s="40"/>
      <c r="C243" s="40"/>
      <c r="D243" s="40"/>
      <c r="E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">
      <c r="A244" s="40"/>
      <c r="B244" s="40"/>
      <c r="C244" s="40"/>
      <c r="D244" s="40"/>
      <c r="E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">
      <c r="A245" s="40"/>
      <c r="B245" s="40"/>
      <c r="C245" s="40"/>
      <c r="D245" s="40"/>
      <c r="E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">
      <c r="A246" s="40"/>
      <c r="B246" s="40"/>
      <c r="C246" s="40"/>
      <c r="D246" s="40"/>
      <c r="E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">
      <c r="A247" s="40"/>
      <c r="B247" s="40"/>
      <c r="C247" s="40"/>
      <c r="D247" s="40"/>
      <c r="E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">
      <c r="A248" s="40"/>
      <c r="B248" s="40"/>
      <c r="C248" s="40"/>
      <c r="D248" s="40"/>
      <c r="E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">
      <c r="A249" s="40"/>
      <c r="B249" s="40"/>
      <c r="C249" s="40"/>
      <c r="D249" s="40"/>
      <c r="E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">
      <c r="A250" s="40"/>
      <c r="B250" s="40"/>
      <c r="C250" s="40"/>
      <c r="D250" s="40"/>
      <c r="E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">
      <c r="A251" s="40"/>
      <c r="B251" s="40"/>
      <c r="C251" s="40"/>
      <c r="D251" s="40"/>
      <c r="E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">
      <c r="A252" s="40"/>
      <c r="B252" s="40"/>
      <c r="C252" s="40"/>
      <c r="D252" s="40"/>
      <c r="E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">
      <c r="A253" s="40"/>
      <c r="B253" s="40"/>
      <c r="C253" s="40"/>
      <c r="D253" s="40"/>
      <c r="E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">
      <c r="A254" s="40"/>
      <c r="B254" s="40"/>
      <c r="C254" s="40"/>
      <c r="D254" s="40"/>
      <c r="E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">
      <c r="A255" s="40"/>
      <c r="B255" s="40"/>
      <c r="C255" s="40"/>
      <c r="D255" s="40"/>
      <c r="E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">
      <c r="A256" s="40"/>
      <c r="B256" s="40"/>
      <c r="C256" s="40"/>
      <c r="D256" s="40"/>
      <c r="E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">
      <c r="A257" s="40"/>
      <c r="B257" s="40"/>
      <c r="C257" s="40"/>
      <c r="D257" s="40"/>
      <c r="E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">
      <c r="A258" s="40"/>
      <c r="B258" s="40"/>
      <c r="C258" s="40"/>
      <c r="D258" s="40"/>
      <c r="E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">
      <c r="A259" s="40"/>
      <c r="B259" s="40"/>
      <c r="C259" s="40"/>
      <c r="D259" s="40"/>
      <c r="E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">
      <c r="A260" s="40"/>
      <c r="B260" s="40"/>
      <c r="C260" s="40"/>
      <c r="D260" s="40"/>
      <c r="E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">
      <c r="A261" s="40"/>
      <c r="B261" s="40"/>
      <c r="C261" s="40"/>
      <c r="D261" s="40"/>
      <c r="E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">
      <c r="A262" s="40"/>
      <c r="B262" s="40"/>
      <c r="C262" s="40"/>
      <c r="D262" s="40"/>
      <c r="E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">
      <c r="A263" s="40"/>
      <c r="B263" s="40"/>
      <c r="C263" s="40"/>
      <c r="D263" s="40"/>
      <c r="E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">
      <c r="A264" s="40"/>
      <c r="B264" s="40"/>
      <c r="C264" s="40"/>
      <c r="D264" s="40"/>
      <c r="E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">
      <c r="A265" s="40"/>
      <c r="B265" s="40"/>
      <c r="C265" s="40"/>
      <c r="D265" s="40"/>
      <c r="E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">
      <c r="A266" s="40"/>
      <c r="B266" s="40"/>
      <c r="C266" s="40"/>
      <c r="D266" s="40"/>
      <c r="E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">
      <c r="A267" s="40"/>
      <c r="B267" s="40"/>
      <c r="C267" s="40"/>
      <c r="D267" s="40"/>
      <c r="E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">
      <c r="A268" s="40"/>
      <c r="B268" s="40"/>
      <c r="C268" s="40"/>
      <c r="D268" s="40"/>
      <c r="E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">
      <c r="A269" s="40"/>
      <c r="B269" s="40"/>
      <c r="C269" s="40"/>
      <c r="D269" s="40"/>
      <c r="E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">
      <c r="A270" s="40"/>
      <c r="B270" s="40"/>
      <c r="C270" s="40"/>
      <c r="D270" s="40"/>
      <c r="E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">
      <c r="A271" s="40"/>
      <c r="B271" s="40"/>
      <c r="C271" s="40"/>
      <c r="D271" s="40"/>
      <c r="E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">
      <c r="A272" s="40"/>
      <c r="B272" s="40"/>
      <c r="C272" s="40"/>
      <c r="D272" s="40"/>
      <c r="E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">
      <c r="A273" s="40"/>
      <c r="B273" s="40"/>
      <c r="C273" s="40"/>
      <c r="D273" s="40"/>
      <c r="E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">
      <c r="A274" s="40"/>
      <c r="B274" s="40"/>
      <c r="C274" s="40"/>
      <c r="D274" s="40"/>
      <c r="E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">
      <c r="A275" s="40"/>
      <c r="B275" s="40"/>
      <c r="C275" s="40"/>
      <c r="D275" s="40"/>
      <c r="E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">
      <c r="A276" s="40"/>
      <c r="B276" s="40"/>
      <c r="C276" s="40"/>
      <c r="D276" s="40"/>
      <c r="E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">
      <c r="A277" s="40"/>
      <c r="B277" s="40"/>
      <c r="C277" s="40"/>
      <c r="D277" s="40"/>
      <c r="E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">
      <c r="A278" s="40"/>
      <c r="B278" s="40"/>
      <c r="C278" s="40"/>
      <c r="D278" s="40"/>
      <c r="E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">
      <c r="A279" s="40"/>
      <c r="B279" s="40"/>
      <c r="C279" s="40"/>
      <c r="D279" s="40"/>
      <c r="E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">
      <c r="A280" s="40"/>
      <c r="B280" s="40"/>
      <c r="C280" s="40"/>
      <c r="D280" s="40"/>
      <c r="E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">
      <c r="A281" s="40"/>
      <c r="B281" s="40"/>
      <c r="C281" s="40"/>
      <c r="D281" s="40"/>
      <c r="E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">
      <c r="A282" s="40"/>
      <c r="B282" s="40"/>
      <c r="C282" s="40"/>
      <c r="D282" s="40"/>
      <c r="E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">
      <c r="A283" s="40"/>
      <c r="B283" s="40"/>
      <c r="C283" s="40"/>
      <c r="D283" s="40"/>
      <c r="E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">
      <c r="A284" s="40"/>
      <c r="B284" s="40"/>
      <c r="C284" s="40"/>
      <c r="D284" s="40"/>
      <c r="E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">
      <c r="A285" s="40"/>
      <c r="B285" s="40"/>
      <c r="C285" s="40"/>
      <c r="D285" s="40"/>
      <c r="E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">
      <c r="A286" s="40"/>
      <c r="B286" s="40"/>
      <c r="C286" s="40"/>
      <c r="D286" s="40"/>
      <c r="E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">
      <c r="A287" s="40"/>
      <c r="B287" s="40"/>
      <c r="C287" s="40"/>
      <c r="D287" s="40"/>
      <c r="E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">
      <c r="A288" s="40"/>
      <c r="B288" s="40"/>
      <c r="C288" s="40"/>
      <c r="D288" s="40"/>
      <c r="E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">
      <c r="A289" s="40"/>
      <c r="B289" s="40"/>
      <c r="C289" s="40"/>
      <c r="D289" s="40"/>
      <c r="E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">
      <c r="A290" s="40"/>
      <c r="B290" s="40"/>
      <c r="C290" s="40"/>
      <c r="D290" s="40"/>
      <c r="E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">
      <c r="A291" s="40"/>
      <c r="B291" s="40"/>
      <c r="C291" s="40"/>
      <c r="D291" s="40"/>
      <c r="E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">
      <c r="A292" s="40"/>
      <c r="B292" s="40"/>
      <c r="C292" s="40"/>
      <c r="D292" s="40"/>
      <c r="E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">
      <c r="A293" s="40"/>
      <c r="B293" s="40"/>
      <c r="C293" s="40"/>
      <c r="D293" s="40"/>
      <c r="E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">
      <c r="A294" s="40"/>
      <c r="B294" s="40"/>
      <c r="C294" s="40"/>
      <c r="D294" s="40"/>
      <c r="E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">
      <c r="A295" s="40"/>
      <c r="B295" s="40"/>
      <c r="C295" s="40"/>
      <c r="D295" s="40"/>
      <c r="E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">
      <c r="A296" s="40"/>
      <c r="B296" s="40"/>
      <c r="C296" s="40"/>
      <c r="D296" s="40"/>
      <c r="E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">
      <c r="A297" s="40"/>
      <c r="B297" s="40"/>
      <c r="C297" s="40"/>
      <c r="D297" s="40"/>
      <c r="E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">
      <c r="A298" s="40"/>
      <c r="B298" s="40"/>
      <c r="C298" s="40"/>
      <c r="D298" s="40"/>
      <c r="E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">
      <c r="A299" s="40"/>
      <c r="B299" s="40"/>
      <c r="C299" s="40"/>
      <c r="D299" s="40"/>
      <c r="E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">
      <c r="A300" s="40"/>
      <c r="B300" s="40"/>
      <c r="C300" s="40"/>
      <c r="D300" s="40"/>
      <c r="E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">
      <c r="A301" s="40"/>
      <c r="B301" s="40"/>
      <c r="C301" s="40"/>
      <c r="D301" s="40"/>
      <c r="E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">
      <c r="A302" s="40"/>
      <c r="B302" s="40"/>
      <c r="C302" s="40"/>
      <c r="D302" s="40"/>
      <c r="E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">
      <c r="A303" s="40"/>
      <c r="B303" s="40"/>
      <c r="C303" s="40"/>
      <c r="D303" s="40"/>
      <c r="E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">
      <c r="A304" s="40"/>
      <c r="B304" s="40"/>
      <c r="C304" s="40"/>
      <c r="D304" s="40"/>
      <c r="E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">
      <c r="A305" s="40"/>
      <c r="B305" s="40"/>
      <c r="C305" s="40"/>
      <c r="D305" s="40"/>
      <c r="E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">
      <c r="A306" s="40"/>
      <c r="B306" s="40"/>
      <c r="C306" s="40"/>
      <c r="D306" s="40"/>
      <c r="E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">
      <c r="A307" s="40"/>
      <c r="B307" s="40"/>
      <c r="C307" s="40"/>
      <c r="D307" s="40"/>
      <c r="E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">
      <c r="A308" s="40"/>
      <c r="B308" s="40"/>
      <c r="C308" s="40"/>
      <c r="D308" s="40"/>
      <c r="E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">
      <c r="A309" s="40"/>
      <c r="B309" s="40"/>
      <c r="C309" s="40"/>
      <c r="D309" s="40"/>
      <c r="E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">
      <c r="A310" s="40"/>
      <c r="B310" s="40"/>
      <c r="C310" s="40"/>
      <c r="D310" s="40"/>
      <c r="E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">
      <c r="A311" s="40"/>
      <c r="B311" s="40"/>
      <c r="C311" s="40"/>
      <c r="D311" s="40"/>
      <c r="E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">
      <c r="A312" s="40"/>
      <c r="B312" s="40"/>
      <c r="C312" s="40"/>
      <c r="D312" s="40"/>
      <c r="E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">
      <c r="A313" s="40"/>
      <c r="B313" s="40"/>
      <c r="C313" s="40"/>
      <c r="D313" s="40"/>
      <c r="E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">
      <c r="A314" s="40"/>
      <c r="B314" s="40"/>
      <c r="C314" s="40"/>
      <c r="D314" s="40"/>
      <c r="E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">
      <c r="A315" s="40"/>
      <c r="B315" s="40"/>
      <c r="C315" s="40"/>
      <c r="D315" s="40"/>
      <c r="E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">
      <c r="A316" s="40"/>
      <c r="B316" s="40"/>
      <c r="C316" s="40"/>
      <c r="D316" s="40"/>
      <c r="E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">
      <c r="A317" s="40"/>
      <c r="B317" s="40"/>
      <c r="C317" s="40"/>
      <c r="D317" s="40"/>
      <c r="E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">
      <c r="A318" s="40"/>
      <c r="B318" s="40"/>
      <c r="C318" s="40"/>
      <c r="D318" s="40"/>
      <c r="E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">
      <c r="A319" s="40"/>
      <c r="B319" s="40"/>
      <c r="C319" s="40"/>
      <c r="D319" s="40"/>
      <c r="E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">
      <c r="A320" s="40"/>
      <c r="B320" s="40"/>
      <c r="C320" s="40"/>
      <c r="D320" s="40"/>
      <c r="E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">
      <c r="A321" s="40"/>
      <c r="B321" s="40"/>
      <c r="C321" s="40"/>
      <c r="D321" s="40"/>
      <c r="E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">
      <c r="A322" s="40"/>
      <c r="B322" s="40"/>
      <c r="C322" s="40"/>
      <c r="D322" s="40"/>
      <c r="E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">
      <c r="A323" s="40"/>
      <c r="B323" s="40"/>
      <c r="C323" s="40"/>
      <c r="D323" s="40"/>
      <c r="E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">
      <c r="A324" s="40"/>
      <c r="B324" s="40"/>
      <c r="C324" s="40"/>
      <c r="D324" s="40"/>
      <c r="E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">
      <c r="A325" s="40"/>
      <c r="B325" s="40"/>
      <c r="C325" s="40"/>
      <c r="D325" s="40"/>
      <c r="E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">
      <c r="A326" s="40"/>
      <c r="B326" s="40"/>
      <c r="C326" s="40"/>
      <c r="D326" s="40"/>
      <c r="E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">
      <c r="A327" s="40"/>
      <c r="B327" s="40"/>
      <c r="C327" s="40"/>
      <c r="D327" s="40"/>
      <c r="E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">
      <c r="A328" s="40"/>
      <c r="B328" s="40"/>
      <c r="C328" s="40"/>
      <c r="D328" s="40"/>
      <c r="E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">
      <c r="A329" s="40"/>
      <c r="B329" s="40"/>
      <c r="C329" s="40"/>
      <c r="D329" s="40"/>
      <c r="E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">
      <c r="A330" s="40"/>
      <c r="B330" s="40"/>
      <c r="C330" s="40"/>
      <c r="D330" s="40"/>
      <c r="E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">
      <c r="A331" s="40"/>
      <c r="B331" s="40"/>
      <c r="C331" s="40"/>
      <c r="D331" s="40"/>
      <c r="E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">
      <c r="A332" s="40"/>
      <c r="B332" s="40"/>
      <c r="C332" s="40"/>
      <c r="D332" s="40"/>
      <c r="E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">
      <c r="A333" s="40"/>
      <c r="B333" s="40"/>
      <c r="C333" s="40"/>
      <c r="D333" s="40"/>
      <c r="E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">
      <c r="A334" s="40"/>
      <c r="B334" s="40"/>
      <c r="C334" s="40"/>
      <c r="D334" s="40"/>
      <c r="E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">
      <c r="A335" s="40"/>
      <c r="B335" s="40"/>
      <c r="C335" s="40"/>
      <c r="D335" s="40"/>
      <c r="E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">
      <c r="A336" s="40"/>
      <c r="B336" s="40"/>
      <c r="C336" s="40"/>
      <c r="D336" s="40"/>
      <c r="E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">
      <c r="A337" s="40"/>
      <c r="B337" s="40"/>
      <c r="C337" s="40"/>
      <c r="D337" s="40"/>
      <c r="E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">
      <c r="A338" s="40"/>
      <c r="B338" s="40"/>
      <c r="C338" s="40"/>
      <c r="D338" s="40"/>
      <c r="E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">
      <c r="A339" s="40"/>
      <c r="B339" s="40"/>
      <c r="C339" s="40"/>
      <c r="D339" s="40"/>
      <c r="E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">
      <c r="A340" s="40"/>
      <c r="B340" s="40"/>
      <c r="C340" s="40"/>
      <c r="D340" s="40"/>
      <c r="E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">
      <c r="A341" s="40"/>
      <c r="B341" s="40"/>
      <c r="C341" s="40"/>
      <c r="D341" s="40"/>
      <c r="E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">
      <c r="A342" s="40"/>
      <c r="B342" s="40"/>
      <c r="C342" s="40"/>
      <c r="D342" s="40"/>
      <c r="E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">
      <c r="A343" s="40"/>
      <c r="B343" s="40"/>
      <c r="C343" s="40"/>
      <c r="D343" s="40"/>
      <c r="E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">
      <c r="A344" s="40"/>
      <c r="B344" s="40"/>
      <c r="C344" s="40"/>
      <c r="D344" s="40"/>
      <c r="E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</sheetData>
  <sheetProtection selectLockedCells="1" selectUnlockedCells="1"/>
  <printOptions gridLines="1" headings="1"/>
  <pageMargins left="0.7" right="0.7" top="0.75" bottom="0.75" header="0.3" footer="0.3"/>
  <pageSetup horizontalDpi="600" verticalDpi="600" orientation="landscape" scale="60" r:id="rId1"/>
  <headerFooter alignWithMargins="0">
    <oddHeader>&amp;CIIAN Foundation
2017-18 Year End Audit
2018-19 Budget YTD 6 Months</oddHeader>
    <oddFooter>&amp;L Confidential&amp;C&amp;D&amp;RPage &amp;P</oddFooter>
  </headerFooter>
  <rowBreaks count="3" manualBreakCount="3">
    <brk id="53" max="31" man="1"/>
    <brk id="119" max="255" man="1"/>
    <brk id="140" max="255" man="1"/>
  </rowBreaks>
  <colBreaks count="1" manualBreakCount="1">
    <brk id="49" max="1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3">
      <selection activeCell="B35" sqref="B35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302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297</v>
      </c>
      <c r="B9" s="77">
        <v>19054</v>
      </c>
    </row>
    <row r="10" spans="1:2" ht="15">
      <c r="A10" s="5" t="s">
        <v>298</v>
      </c>
      <c r="B10" s="90">
        <v>116910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32520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168484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168484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19092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19092</v>
      </c>
      <c r="C32" s="91">
        <f>B32</f>
        <v>19092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294</v>
      </c>
      <c r="B35" s="95">
        <v>131764</v>
      </c>
      <c r="C35" s="116"/>
      <c r="D35" s="95"/>
      <c r="E35" s="251"/>
    </row>
    <row r="36" spans="1:5" ht="15">
      <c r="A36" s="5" t="s">
        <v>303</v>
      </c>
      <c r="B36" s="90">
        <v>8000</v>
      </c>
      <c r="C36" s="116"/>
      <c r="D36" s="252"/>
      <c r="E36" s="14"/>
    </row>
    <row r="37" spans="1:5" ht="15">
      <c r="A37" s="5" t="s">
        <v>293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44559</v>
      </c>
      <c r="C38" s="116"/>
      <c r="D38" s="252"/>
      <c r="E38" s="253"/>
    </row>
    <row r="39" spans="1:5" ht="15">
      <c r="A39" t="s">
        <v>126</v>
      </c>
      <c r="B39" s="254">
        <v>17628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149392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168484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296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297</v>
      </c>
      <c r="B9" s="77">
        <v>14023</v>
      </c>
    </row>
    <row r="10" spans="1:2" ht="15">
      <c r="A10" s="5" t="s">
        <v>298</v>
      </c>
      <c r="B10" s="90">
        <v>116752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2332</v>
      </c>
    </row>
    <row r="14" spans="1:2" ht="15">
      <c r="A14" t="s">
        <v>213</v>
      </c>
      <c r="B14" s="21">
        <v>100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133207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133207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1294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1294</v>
      </c>
      <c r="C32" s="91">
        <f>B32</f>
        <v>1294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294</v>
      </c>
      <c r="B35" s="95">
        <v>131764</v>
      </c>
      <c r="C35" s="116"/>
      <c r="D35" s="95"/>
      <c r="E35" s="251"/>
    </row>
    <row r="36" spans="1:5" ht="15">
      <c r="A36" s="5" t="s">
        <v>292</v>
      </c>
      <c r="B36" s="90">
        <v>8000</v>
      </c>
      <c r="C36" s="116"/>
      <c r="D36" s="252"/>
      <c r="E36" s="14"/>
    </row>
    <row r="37" spans="1:5" ht="15">
      <c r="A37" s="5" t="s">
        <v>293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44559</v>
      </c>
      <c r="C38" s="116"/>
      <c r="D38" s="252"/>
      <c r="E38" s="253"/>
    </row>
    <row r="39" spans="1:5" ht="15">
      <c r="A39" t="s">
        <v>126</v>
      </c>
      <c r="B39" s="254">
        <v>149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131913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133207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3" sqref="C43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286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22644.62</v>
      </c>
    </row>
    <row r="12" spans="1:2" ht="15">
      <c r="A12" s="5" t="s">
        <v>106</v>
      </c>
      <c r="B12" s="90">
        <v>98088.03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0</v>
      </c>
    </row>
    <row r="15" spans="1:2" ht="15">
      <c r="A15" t="s">
        <v>250</v>
      </c>
      <c r="B15" s="21">
        <v>2175</v>
      </c>
    </row>
    <row r="16" spans="1:2" ht="15">
      <c r="A16" t="s">
        <v>213</v>
      </c>
      <c r="B16" s="21">
        <v>1998.58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124906.23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124906.23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5349.66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0</v>
      </c>
    </row>
    <row r="34" spans="1:3" ht="15">
      <c r="A34" s="94" t="s">
        <v>122</v>
      </c>
      <c r="B34" s="77">
        <f>SUM(B30:B33)</f>
        <v>5349.66</v>
      </c>
      <c r="C34" s="91">
        <f>B34</f>
        <v>5349.66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275</v>
      </c>
      <c r="B37" s="95">
        <v>117078.59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79204.83</v>
      </c>
      <c r="C39" s="116"/>
      <c r="D39" s="252"/>
      <c r="E39" s="14"/>
    </row>
    <row r="40" spans="1:5" ht="15">
      <c r="A40" s="51" t="s">
        <v>133</v>
      </c>
      <c r="B40" s="90">
        <v>31048.76</v>
      </c>
      <c r="C40" s="116"/>
      <c r="D40" s="252"/>
      <c r="E40" s="253"/>
    </row>
    <row r="41" spans="1:5" ht="15">
      <c r="A41" t="s">
        <v>126</v>
      </c>
      <c r="B41" s="221">
        <v>2477.98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119556.56999999999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124906.23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3" sqref="C43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274</v>
      </c>
      <c r="B6" s="2"/>
      <c r="C6" s="85"/>
      <c r="D6" s="85"/>
    </row>
    <row r="7" ht="15">
      <c r="A7" s="88">
        <v>43616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659.3</v>
      </c>
    </row>
    <row r="12" spans="1:2" ht="15">
      <c r="A12" s="5" t="s">
        <v>106</v>
      </c>
      <c r="B12" s="90">
        <v>98063.33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38525</v>
      </c>
    </row>
    <row r="16" spans="1:2" ht="15">
      <c r="A16" t="s">
        <v>213</v>
      </c>
      <c r="B16" s="21">
        <v>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140992.63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140992.63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15353.86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0</v>
      </c>
    </row>
    <row r="34" spans="1:3" ht="15">
      <c r="A34" s="94" t="s">
        <v>122</v>
      </c>
      <c r="B34" s="77">
        <f>SUM(B30:B33)</f>
        <v>15353.86</v>
      </c>
      <c r="C34" s="91">
        <f>B34</f>
        <v>15353.86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275</v>
      </c>
      <c r="B37" s="95">
        <v>117078.59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78029.83</v>
      </c>
      <c r="C39" s="116"/>
      <c r="D39" s="252"/>
      <c r="E39" s="14"/>
    </row>
    <row r="40" spans="1:5" ht="15">
      <c r="A40" s="51" t="s">
        <v>133</v>
      </c>
      <c r="B40" s="90">
        <v>31048.76</v>
      </c>
      <c r="C40" s="116"/>
      <c r="D40" s="252"/>
      <c r="E40" s="253"/>
    </row>
    <row r="41" spans="1:5" ht="15">
      <c r="A41" t="s">
        <v>126</v>
      </c>
      <c r="B41" s="221">
        <v>8560.18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125638.76999999999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140992.63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5" sqref="C45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254</v>
      </c>
      <c r="B6" s="2"/>
      <c r="C6" s="85"/>
      <c r="D6" s="85"/>
    </row>
    <row r="7" ht="15">
      <c r="A7" s="88">
        <v>43434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7174.12</v>
      </c>
    </row>
    <row r="12" spans="1:2" ht="15">
      <c r="A12" s="5" t="s">
        <v>106</v>
      </c>
      <c r="B12" s="90">
        <v>117928.01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3525</v>
      </c>
    </row>
    <row r="16" spans="1:2" ht="15">
      <c r="A16" t="s">
        <v>213</v>
      </c>
      <c r="B16" s="21">
        <v>1810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134182.13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134182.13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16603.54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500</v>
      </c>
    </row>
    <row r="34" spans="1:3" ht="15">
      <c r="A34" s="94" t="s">
        <v>122</v>
      </c>
      <c r="B34" s="77">
        <f>SUM(B30:B33)</f>
        <v>17103.54</v>
      </c>
      <c r="C34" s="91">
        <f>B34</f>
        <v>17103.54</v>
      </c>
    </row>
    <row r="35" ht="15">
      <c r="C35" s="2"/>
    </row>
    <row r="36" spans="1:5" ht="15">
      <c r="A36" t="s">
        <v>123</v>
      </c>
      <c r="C36" s="198" t="s">
        <v>255</v>
      </c>
      <c r="D36" s="110"/>
      <c r="E36" s="110"/>
    </row>
    <row r="37" spans="1:5" ht="15">
      <c r="A37" s="96" t="s">
        <v>251</v>
      </c>
      <c r="B37" s="95">
        <f>SUM(B38:B40)</f>
        <v>120580.24</v>
      </c>
      <c r="C37" s="199"/>
      <c r="D37" s="95">
        <f>SUM(D38:D41)</f>
        <v>114751.94</v>
      </c>
      <c r="E37" s="227">
        <f>C43-D37</f>
        <v>2326.6500000000087</v>
      </c>
    </row>
    <row r="38" spans="1:5" ht="15">
      <c r="A38" s="5" t="s">
        <v>131</v>
      </c>
      <c r="B38" s="90">
        <v>8000</v>
      </c>
      <c r="C38" s="199">
        <v>0</v>
      </c>
      <c r="D38" s="201">
        <f>B38</f>
        <v>8000</v>
      </c>
      <c r="E38" s="102"/>
    </row>
    <row r="39" spans="1:5" ht="15">
      <c r="A39" s="5" t="s">
        <v>132</v>
      </c>
      <c r="B39" s="90">
        <v>79204.83</v>
      </c>
      <c r="C39" s="199">
        <v>0</v>
      </c>
      <c r="D39" s="201">
        <f>B39-1175</f>
        <v>78029.83</v>
      </c>
      <c r="E39" s="102"/>
    </row>
    <row r="40" spans="1:5" ht="15">
      <c r="A40" s="51" t="s">
        <v>133</v>
      </c>
      <c r="B40" s="90">
        <v>33375.41</v>
      </c>
      <c r="C40" s="199"/>
      <c r="D40" s="201">
        <f>B40+D41</f>
        <v>31048.760000000002</v>
      </c>
      <c r="E40" s="203"/>
    </row>
    <row r="41" spans="1:5" ht="15">
      <c r="A41" t="s">
        <v>126</v>
      </c>
      <c r="B41" s="221">
        <v>-3501.65</v>
      </c>
      <c r="C41" s="199">
        <f>C38+C39</f>
        <v>0</v>
      </c>
      <c r="D41" s="226">
        <v>-2326.65</v>
      </c>
      <c r="E41" s="102"/>
    </row>
    <row r="42" spans="2:5" ht="15">
      <c r="B42" s="90"/>
      <c r="C42" s="102"/>
      <c r="D42" s="201"/>
      <c r="E42" s="102"/>
    </row>
    <row r="43" spans="1:5" ht="15">
      <c r="A43" s="94" t="s">
        <v>127</v>
      </c>
      <c r="C43" s="253">
        <f>SUM(B37+B41)</f>
        <v>117078.59000000001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134182.13</v>
      </c>
    </row>
  </sheetData>
  <sheetProtection/>
  <printOptions gridLines="1"/>
  <pageMargins left="0.7" right="0.7" top="0.75" bottom="0.75" header="0.3" footer="0.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9">
      <selection activeCell="C39" sqref="C39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248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7174.12</v>
      </c>
    </row>
    <row r="12" spans="1:2" ht="15">
      <c r="A12" s="5" t="s">
        <v>106</v>
      </c>
      <c r="B12" s="90">
        <v>117928.01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3525</v>
      </c>
    </row>
    <row r="16" spans="1:2" ht="15">
      <c r="A16" t="s">
        <v>213</v>
      </c>
      <c r="B16" s="21">
        <v>1810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134182.13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134182.13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24293.54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500</v>
      </c>
    </row>
    <row r="34" spans="1:3" ht="15">
      <c r="A34" s="94" t="s">
        <v>122</v>
      </c>
      <c r="B34" s="77">
        <f>SUM(B30:B33)</f>
        <v>24793.54</v>
      </c>
      <c r="C34" s="91">
        <f>B34</f>
        <v>24793.54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251</v>
      </c>
      <c r="B37" s="95">
        <f>SUM(B38:B40)</f>
        <v>120580.24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79204.83</v>
      </c>
      <c r="C39" s="116"/>
      <c r="D39" s="252"/>
      <c r="E39" s="14"/>
    </row>
    <row r="40" spans="1:5" ht="15">
      <c r="A40" s="51" t="s">
        <v>133</v>
      </c>
      <c r="B40" s="90">
        <v>33375.41</v>
      </c>
      <c r="C40" s="116"/>
      <c r="D40" s="252"/>
      <c r="E40" s="253"/>
    </row>
    <row r="41" spans="1:5" ht="15">
      <c r="A41" t="s">
        <v>126</v>
      </c>
      <c r="B41" s="221">
        <v>-11191.65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109388.59000000001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134182.13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A37" sqref="A37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239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4783.11</v>
      </c>
    </row>
    <row r="12" spans="1:2" ht="15">
      <c r="A12" s="5" t="s">
        <v>106</v>
      </c>
      <c r="B12" s="90">
        <v>117828.72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2200</v>
      </c>
    </row>
    <row r="15" spans="1:2" ht="15">
      <c r="A15" t="s">
        <v>136</v>
      </c>
      <c r="B15" s="21">
        <v>12395</v>
      </c>
    </row>
    <row r="16" spans="1:2" ht="15">
      <c r="A16" t="s">
        <v>213</v>
      </c>
      <c r="B16" s="21">
        <v>2110.9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139317.73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139317.73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18681.87</v>
      </c>
    </row>
    <row r="32" spans="1:2" ht="15">
      <c r="A32" s="96" t="s">
        <v>233</v>
      </c>
      <c r="B32" s="97">
        <v>0</v>
      </c>
    </row>
    <row r="33" spans="1:3" ht="15">
      <c r="A33" s="94" t="s">
        <v>122</v>
      </c>
      <c r="B33" s="77">
        <f>SUM(B30:B32)</f>
        <v>18681.87</v>
      </c>
      <c r="C33" s="91">
        <f>B33</f>
        <v>18681.87</v>
      </c>
    </row>
    <row r="34" ht="15">
      <c r="C34" s="2"/>
    </row>
    <row r="35" spans="1:5" ht="15">
      <c r="A35" t="s">
        <v>123</v>
      </c>
      <c r="C35" s="250"/>
      <c r="D35" s="40"/>
      <c r="E35" s="40"/>
    </row>
    <row r="36" spans="1:5" ht="15">
      <c r="A36" s="96" t="s">
        <v>251</v>
      </c>
      <c r="B36" s="95">
        <f>SUM(B37:B39)</f>
        <v>120580.24</v>
      </c>
      <c r="C36" s="116"/>
      <c r="D36" s="95"/>
      <c r="E36" s="251"/>
    </row>
    <row r="37" spans="1:5" ht="15">
      <c r="A37" s="5" t="s">
        <v>131</v>
      </c>
      <c r="B37" s="90">
        <v>8000</v>
      </c>
      <c r="C37" s="116"/>
      <c r="D37" s="252"/>
      <c r="E37" s="14"/>
    </row>
    <row r="38" spans="1:5" ht="15">
      <c r="A38" s="5" t="s">
        <v>132</v>
      </c>
      <c r="B38" s="90">
        <v>79204.83</v>
      </c>
      <c r="C38" s="116"/>
      <c r="D38" s="252"/>
      <c r="E38" s="14"/>
    </row>
    <row r="39" spans="1:5" ht="15">
      <c r="A39" s="51" t="s">
        <v>133</v>
      </c>
      <c r="B39" s="90">
        <v>33375.41</v>
      </c>
      <c r="C39" s="116"/>
      <c r="D39" s="252"/>
      <c r="E39" s="253"/>
    </row>
    <row r="40" spans="1:5" ht="15">
      <c r="A40" t="s">
        <v>126</v>
      </c>
      <c r="B40" s="221">
        <v>55.62</v>
      </c>
      <c r="C40" s="116"/>
      <c r="D40" s="254"/>
      <c r="E40" s="14"/>
    </row>
    <row r="41" spans="2:5" ht="15">
      <c r="B41" s="90"/>
      <c r="C41" s="14"/>
      <c r="D41" s="252"/>
      <c r="E41" s="14"/>
    </row>
    <row r="42" spans="1:5" ht="15">
      <c r="A42" s="94" t="s">
        <v>127</v>
      </c>
      <c r="C42" s="253">
        <f>SUM(B36+B40)</f>
        <v>120635.86</v>
      </c>
      <c r="D42" s="40"/>
      <c r="E42" s="253"/>
    </row>
    <row r="43" ht="15">
      <c r="E43" s="220"/>
    </row>
    <row r="44" spans="1:3" ht="15">
      <c r="A44" s="2" t="s">
        <v>128</v>
      </c>
      <c r="C44" s="91">
        <f>SUM(C33+C42)</f>
        <v>139317.73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&amp;CIIAN Foundation
Balance Sheet - 04/30/2018 - 8 Mos.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cp:lastPrinted>2019-06-13T22:18:52Z</cp:lastPrinted>
  <dcterms:created xsi:type="dcterms:W3CDTF">2014-08-16T16:17:42Z</dcterms:created>
  <dcterms:modified xsi:type="dcterms:W3CDTF">2021-07-11T21:14:26Z</dcterms:modified>
  <cp:category/>
  <cp:version/>
  <cp:contentType/>
  <cp:contentStatus/>
</cp:coreProperties>
</file>